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8025" activeTab="0"/>
  </bookViews>
  <sheets>
    <sheet name="Retirement Planner" sheetId="1" r:id="rId1"/>
    <sheet name="zKDCalcPropertiesVHS" sheetId="2" state="veryHidden" r:id="rId2"/>
  </sheets>
  <definedNames>
    <definedName name="Age">'Retirement Planner'!$E$15</definedName>
    <definedName name="Calc_Invest1Risk">'Retirement Planner'!$U$30</definedName>
    <definedName name="Calc_Invest1ROI">'Retirement Planner'!$T$23</definedName>
    <definedName name="Calc_Invest2Risk">'Retirement Planner'!$U$31</definedName>
    <definedName name="Calc_Invest2ROI">'Retirement Planner'!$T$24</definedName>
    <definedName name="Calc_Invest3Risk">'Retirement Planner'!$U$32</definedName>
    <definedName name="Calc_Invest3ROI">'Retirement Planner'!$T$25</definedName>
    <definedName name="Calc_Invest4Risk">'Retirement Planner'!$U$33</definedName>
    <definedName name="Calc_Invest4ROI">'Retirement Planner'!$T$27</definedName>
    <definedName name="Calc_Invest5Risk">'Retirement Planner'!$U$34</definedName>
    <definedName name="Calc_Invest5ROI">'Retirement Planner'!$T$28</definedName>
    <definedName name="Calc_MoWeightAveROI">'Retirement Planner'!$U$29</definedName>
    <definedName name="Calc_WeightAveRisk">'Retirement Planner'!$T$35</definedName>
    <definedName name="Calc_WeightAveROI">'Retirement Planner'!$T$29</definedName>
    <definedName name="CurrentYear">'Retirement Planner'!$E$19</definedName>
    <definedName name="Input_InitInvestAmt">'Retirement Planner'!$T$6</definedName>
    <definedName name="Input_Invest1Percent">'Retirement Planner'!$T$10</definedName>
    <definedName name="Input_Invest1Type">'Retirement Planner'!$T$9</definedName>
    <definedName name="Input_Invest1Vehicle">'Retirement Planner'!$U$9</definedName>
    <definedName name="Input_Invest2Percent">'Retirement Planner'!$T$12</definedName>
    <definedName name="Input_Invest2Type">'Retirement Planner'!$T$11</definedName>
    <definedName name="Input_Invest2Vehicle">'Retirement Planner'!$U$11</definedName>
    <definedName name="Input_Invest3Percent">'Retirement Planner'!$T$14</definedName>
    <definedName name="Input_Invest3Type">'Retirement Planner'!$T$13</definedName>
    <definedName name="Input_Invest3Vehicle">'Retirement Planner'!$U$13</definedName>
    <definedName name="Input_Invest4Percent">'Retirement Planner'!$T$16</definedName>
    <definedName name="Input_Invest4Type">'Retirement Planner'!$T$15</definedName>
    <definedName name="Input_Invest4Vehicle">'Retirement Planner'!$U$15</definedName>
    <definedName name="Input_Invest5Percent">'Retirement Planner'!$T$20</definedName>
    <definedName name="Input_Invest5Type">'Retirement Planner'!$T$19</definedName>
    <definedName name="Input_Invest5Vehicle">'Retirement Planner'!$U$19</definedName>
    <definedName name="Input_MoInvestAmt">'Retirement Planner'!$T$7</definedName>
    <definedName name="Input_NumInvestYears">'Retirement Planner'!$T$8</definedName>
    <definedName name="Invest_Choices">'Retirement Planner'!$X$7:$X$15</definedName>
    <definedName name="Invest_ROI">'Retirement Planner'!$Y$12:$Y$19</definedName>
    <definedName name="LifeExpect">'Retirement Planner'!$E$17</definedName>
    <definedName name="Result_Invested">'Retirement Planner'!$T$39</definedName>
    <definedName name="Result_Return">'Retirement Planner'!$S$39</definedName>
    <definedName name="Result_RiskRating">'Retirement Planner'!$U$35</definedName>
    <definedName name="Results_Details">'Retirement Planner'!$S$43:$V$92</definedName>
    <definedName name="RetireAge">'Retirement Planner'!$E$16</definedName>
    <definedName name="YearlyCost">'Retirement Planner'!$E$18</definedName>
  </definedNames>
  <calcPr fullCalcOnLoad="1"/>
</workbook>
</file>

<file path=xl/comments1.xml><?xml version="1.0" encoding="utf-8"?>
<comments xmlns="http://schemas.openxmlformats.org/spreadsheetml/2006/main">
  <authors>
    <author>Michael_R_Smialek</author>
  </authors>
  <commentList>
    <comment ref="K12" authorId="0">
      <text>
        <r>
          <rPr>
            <b/>
            <sz val="8"/>
            <rFont val="Tahoma"/>
            <family val="0"/>
          </rPr>
          <t>Enter the portion of your monthly contribuition that you want allocated to each Investment Vehicle.  These should sum to 100%.</t>
        </r>
      </text>
    </comment>
  </commentList>
</comments>
</file>

<file path=xl/sharedStrings.xml><?xml version="1.0" encoding="utf-8"?>
<sst xmlns="http://schemas.openxmlformats.org/spreadsheetml/2006/main" count="207" uniqueCount="158">
  <si>
    <t>Savings Calculator</t>
  </si>
  <si>
    <t>User Inputs:</t>
  </si>
  <si>
    <t># of Vesting Years:</t>
  </si>
  <si>
    <t>Investment Type 1:</t>
  </si>
  <si>
    <t>Investment Type 2:</t>
  </si>
  <si>
    <t>Investment Type 3:</t>
  </si>
  <si>
    <t>Investment Type 4:</t>
  </si>
  <si>
    <t>Investment Type 5:</t>
  </si>
  <si>
    <t>Type #:</t>
  </si>
  <si>
    <t>Savings Account</t>
  </si>
  <si>
    <t>Percent of Total Portfolio:</t>
  </si>
  <si>
    <t>ROI:</t>
  </si>
  <si>
    <t>Risk:</t>
  </si>
  <si>
    <t>*ROI - return on investment</t>
  </si>
  <si>
    <t>Risk Look-Up</t>
  </si>
  <si>
    <t>Investment Type Look-Up</t>
  </si>
  <si>
    <t>high</t>
  </si>
  <si>
    <t>low</t>
  </si>
  <si>
    <t>medium</t>
  </si>
  <si>
    <t>low-med</t>
  </si>
  <si>
    <t>med-high</t>
  </si>
  <si>
    <t>Invest. 1 ROI:</t>
  </si>
  <si>
    <t>Invest. 1 Risk:</t>
  </si>
  <si>
    <t>Invest. 2 ROI:</t>
  </si>
  <si>
    <t>Invest. 2 Risk:</t>
  </si>
  <si>
    <t>Invest. 3 ROI:</t>
  </si>
  <si>
    <t>Invest. 4 Risk:</t>
  </si>
  <si>
    <t>Invest. 3 Risk:</t>
  </si>
  <si>
    <t>Invest. 4 ROI:</t>
  </si>
  <si>
    <t>Invest. 5 ROI:</t>
  </si>
  <si>
    <t>Invest. 5 Risk:</t>
  </si>
  <si>
    <t>Weighted Ave. ROI:</t>
  </si>
  <si>
    <t>System Calculations:</t>
  </si>
  <si>
    <t>Weighted Ave. Risk:</t>
  </si>
  <si>
    <t>&lt;- 1 - 50</t>
  </si>
  <si>
    <t>Results:</t>
  </si>
  <si>
    <t>Year #:</t>
  </si>
  <si>
    <t>Risk # Value</t>
  </si>
  <si>
    <t>Description</t>
  </si>
  <si>
    <t>None</t>
  </si>
  <si>
    <t>Cash</t>
  </si>
  <si>
    <t>Savings Bonds</t>
  </si>
  <si>
    <t>Income Fund</t>
  </si>
  <si>
    <t>Growth Fund</t>
  </si>
  <si>
    <t>International Fund</t>
  </si>
  <si>
    <t>Money Market</t>
  </si>
  <si>
    <t>Detailed Results:</t>
  </si>
  <si>
    <t>Total Investment:</t>
  </si>
  <si>
    <t>Total Return:</t>
  </si>
  <si>
    <t>Principle @ t(0)</t>
  </si>
  <si>
    <t>Investment Vehicle:</t>
  </si>
  <si>
    <t>Value:</t>
  </si>
  <si>
    <t>Monthly Investment Amt:</t>
  </si>
  <si>
    <t>Initial Investment Amt:</t>
  </si>
  <si>
    <t>none</t>
  </si>
  <si>
    <t>Initial Investment Amount:</t>
  </si>
  <si>
    <t>Investment Decisions:</t>
  </si>
  <si>
    <t>Investment Portfolio:</t>
  </si>
  <si>
    <t>Enter in your desired investment amounts:</t>
  </si>
  <si>
    <t>Set up your portfolio based on risk and return:</t>
  </si>
  <si>
    <t>Investment Type:</t>
  </si>
  <si>
    <t>Investment Percent:</t>
  </si>
  <si>
    <t>Level of Risk:</t>
  </si>
  <si>
    <t>Summary:</t>
  </si>
  <si>
    <t>Detailed Summary:</t>
  </si>
  <si>
    <t>Starting Principal:</t>
  </si>
  <si>
    <t>Ending Value:</t>
  </si>
  <si>
    <t>Summary Graph:</t>
  </si>
  <si>
    <t>Year Lookup</t>
  </si>
  <si>
    <t>zKDGenKDC</t>
  </si>
  <si>
    <t>zKDGenDisp</t>
  </si>
  <si>
    <t>zKDCalcFileName</t>
  </si>
  <si>
    <t>zKDStyleNumFormat</t>
  </si>
  <si>
    <t>zKDStyleBackground</t>
  </si>
  <si>
    <t>zKDStyleFont</t>
  </si>
  <si>
    <t>zKDCalcSheetSheet1Incl</t>
  </si>
  <si>
    <t>Yes</t>
  </si>
  <si>
    <t>zKDCalcSheetSheet1TL</t>
  </si>
  <si>
    <t>A1</t>
  </si>
  <si>
    <t>zKDCalcSheetSheet1BR</t>
  </si>
  <si>
    <t>zKDCalcSheetSheet1Synch</t>
  </si>
  <si>
    <t>zKDCalcSheetSheet2Incl</t>
  </si>
  <si>
    <t>zKDCalcSheetSheet2TL</t>
  </si>
  <si>
    <t>zKDCalcSheetSheet2BR</t>
  </si>
  <si>
    <t>M2</t>
  </si>
  <si>
    <t>zKDCalcSheetSheet2Synch</t>
  </si>
  <si>
    <t>zKDCalcSheetSheet3Incl</t>
  </si>
  <si>
    <t>zKDCalcSheetSheet3TL</t>
  </si>
  <si>
    <t>zKDCalcSheetSheet3BR</t>
  </si>
  <si>
    <t>zKDCalcSheetSheet3Synch</t>
  </si>
  <si>
    <t>zKDCalcOutputDir</t>
  </si>
  <si>
    <t>zKDDispFileName</t>
  </si>
  <si>
    <t>zKDDispTemplateType</t>
  </si>
  <si>
    <t>zKDDispTemplate</t>
  </si>
  <si>
    <t>zKDDispCellDetect</t>
  </si>
  <si>
    <t>zKDDispInputColor</t>
  </si>
  <si>
    <t>zKDDispInStartText</t>
  </si>
  <si>
    <t>IN_</t>
  </si>
  <si>
    <t>zKDDispInputDisplayColor</t>
  </si>
  <si>
    <t>zKDDispGridlines</t>
  </si>
  <si>
    <t>zKDDispHeaders</t>
  </si>
  <si>
    <t>zKDDispGenType</t>
  </si>
  <si>
    <t>zKDDispRecalc</t>
  </si>
  <si>
    <t>zKDDispInputCellBorder</t>
  </si>
  <si>
    <t>zKDDispWidthType</t>
  </si>
  <si>
    <t>zKDDispWidthPixel</t>
  </si>
  <si>
    <t>zKDDispWidthPct</t>
  </si>
  <si>
    <t>zKDDispSheetSheet1Incl</t>
  </si>
  <si>
    <t>zKDDispSheetSheet1TL</t>
  </si>
  <si>
    <t>zKDDispSheetSheet1BR</t>
  </si>
  <si>
    <t>zKDDispSheetSheet1Synch</t>
  </si>
  <si>
    <t>zKDDispSheetSheet2Incl</t>
  </si>
  <si>
    <t>zKDDispSheetSheet2TL</t>
  </si>
  <si>
    <t>zKDDispSheetSheet2BR</t>
  </si>
  <si>
    <t>zKDDispSheetSheet2Synch</t>
  </si>
  <si>
    <t>zKDDispSheetSheet3Incl</t>
  </si>
  <si>
    <t>zKDDispSheetSheet3TL</t>
  </si>
  <si>
    <t>zKDDispSheetSheet3BR</t>
  </si>
  <si>
    <t>zKDDispSheetSheet3Synch</t>
  </si>
  <si>
    <t>Age</t>
  </si>
  <si>
    <t>Life Expectancy</t>
  </si>
  <si>
    <t>No</t>
  </si>
  <si>
    <t>Beginning Year of the Investment</t>
  </si>
  <si>
    <t>Annual Spend After Retirement</t>
  </si>
  <si>
    <t xml:space="preserve"> </t>
  </si>
  <si>
    <t>AB212</t>
  </si>
  <si>
    <t>Instructions</t>
  </si>
  <si>
    <t>Retirement Planner</t>
  </si>
  <si>
    <t>RetirementPlanner.kdc</t>
  </si>
  <si>
    <t>Q46</t>
  </si>
  <si>
    <t>C:\Inetpub\wwwroot\KDCalc\demos\RetirementPlanner\html\</t>
  </si>
  <si>
    <t>RetirementPlanner.html</t>
  </si>
  <si>
    <t>Estimated Annual Return:</t>
  </si>
  <si>
    <t>Emerging Mkts Fund</t>
  </si>
  <si>
    <t>Current Age</t>
  </si>
  <si>
    <t>This is your retirement planning calculator.  You can adjust your contributions and other investment parameters and watch the graph redraw for a projection of your financial future.</t>
  </si>
  <si>
    <t>Monthly Contribution Amount:</t>
  </si>
  <si>
    <t>Expected Age at Retirement</t>
  </si>
  <si>
    <t>Cumulative Contribution:</t>
  </si>
  <si>
    <t>zKDCalcSheetCalculatorIncl</t>
  </si>
  <si>
    <t>zKDCalcSheetCalculatorTL</t>
  </si>
  <si>
    <t>zKDCalcSheetCalculatorBR</t>
  </si>
  <si>
    <t>AB211</t>
  </si>
  <si>
    <t>zKDCalcSheetCalculatorSynch</t>
  </si>
  <si>
    <t>zKDDispSheetCalculatorIncl</t>
  </si>
  <si>
    <t>zKDDispSheetCalculatorTL</t>
  </si>
  <si>
    <t>zKDDispSheetCalculatorBR</t>
  </si>
  <si>
    <t>zKDDispSheetCalculatorSynch</t>
  </si>
  <si>
    <t>zKDCalcSheetRetirementPlannerIncl</t>
  </si>
  <si>
    <t>zKDCalcSheetRetirementPlannerTL</t>
  </si>
  <si>
    <t>zKDCalcSheetRetirementPlannerBR</t>
  </si>
  <si>
    <t>zKDCalcSheetRetirementPlannerSynch</t>
  </si>
  <si>
    <t>zKDDispSheetRetirementPlannerIncl</t>
  </si>
  <si>
    <t>zKDDispSheetRetirementPlannerTL</t>
  </si>
  <si>
    <t>zKDDispSheetRetirementPlannerBR</t>
  </si>
  <si>
    <t>zKDDispSheetRetirementPlannerSynch</t>
  </si>
  <si>
    <t>C:\kd\Dev\KDCalc\3_Src\KDCalcDesigner\KDCalcAddIn\templates\HTML\</t>
  </si>
  <si>
    <t>P44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</si>
</sst>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0.0000"/>
    <numFmt numFmtId="167" formatCode="0.000"/>
    <numFmt numFmtId="168" formatCode="0.0"/>
    <numFmt numFmtId="169" formatCode="0.000000"/>
    <numFmt numFmtId="170" formatCode="_(&quot;$&quot;* #,##0.000_);_(&quot;$&quot;* \(#,##0.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.00"/>
    <numFmt numFmtId="174" formatCode="&quot;$&quot;#,##0"/>
  </numFmts>
  <fonts count="24">
    <font>
      <sz val="10"/>
      <name val="Arial"/>
      <family val="0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color indexed="9"/>
      <name val="Arial"/>
      <family val="2"/>
    </font>
    <font>
      <b/>
      <sz val="20"/>
      <name val="Arial"/>
      <family val="2"/>
    </font>
    <font>
      <b/>
      <sz val="10"/>
      <color indexed="18"/>
      <name val="Arial"/>
      <family val="0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b/>
      <i/>
      <sz val="9"/>
      <name val="Arial"/>
      <family val="2"/>
    </font>
    <font>
      <sz val="8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2"/>
      <color indexed="9"/>
      <name val="Arial"/>
      <family val="2"/>
    </font>
    <font>
      <sz val="10.75"/>
      <name val="Arial"/>
      <family val="2"/>
    </font>
    <font>
      <b/>
      <sz val="18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medium">
        <color indexed="23"/>
      </bottom>
    </border>
    <border>
      <left>
        <color indexed="63"/>
      </left>
      <right>
        <color indexed="63"/>
      </right>
      <top style="thin"/>
      <bottom style="medium">
        <color indexed="23"/>
      </bottom>
    </border>
    <border>
      <left>
        <color indexed="63"/>
      </left>
      <right style="thin"/>
      <top style="thin"/>
      <bottom style="medium">
        <color indexed="2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0" fillId="0" borderId="0" xfId="15" applyAlignment="1">
      <alignment/>
    </xf>
    <xf numFmtId="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3" borderId="3" xfId="0" applyFill="1" applyBorder="1" applyAlignment="1">
      <alignment/>
    </xf>
    <xf numFmtId="10" fontId="0" fillId="4" borderId="3" xfId="19" applyNumberFormat="1" applyFill="1" applyBorder="1" applyAlignment="1">
      <alignment/>
    </xf>
    <xf numFmtId="0" fontId="0" fillId="4" borderId="3" xfId="0" applyFill="1" applyBorder="1" applyAlignment="1">
      <alignment/>
    </xf>
    <xf numFmtId="2" fontId="0" fillId="4" borderId="3" xfId="0" applyNumberFormat="1" applyFill="1" applyBorder="1" applyAlignment="1">
      <alignment/>
    </xf>
    <xf numFmtId="10" fontId="0" fillId="0" borderId="0" xfId="19" applyNumberFormat="1" applyAlignment="1">
      <alignment horizontal="right"/>
    </xf>
    <xf numFmtId="0" fontId="0" fillId="3" borderId="4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0" xfId="0" applyFill="1" applyAlignment="1">
      <alignment/>
    </xf>
    <xf numFmtId="10" fontId="0" fillId="5" borderId="3" xfId="19" applyNumberFormat="1" applyFont="1" applyFill="1" applyBorder="1" applyAlignment="1">
      <alignment/>
    </xf>
    <xf numFmtId="10" fontId="0" fillId="5" borderId="3" xfId="19" applyNumberFormat="1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10" fontId="0" fillId="5" borderId="6" xfId="19" applyNumberFormat="1" applyFill="1" applyBorder="1" applyAlignment="1">
      <alignment/>
    </xf>
    <xf numFmtId="0" fontId="0" fillId="5" borderId="1" xfId="0" applyFill="1" applyBorder="1" applyAlignment="1">
      <alignment/>
    </xf>
    <xf numFmtId="44" fontId="0" fillId="4" borderId="3" xfId="17" applyFill="1" applyBorder="1" applyAlignment="1">
      <alignment/>
    </xf>
    <xf numFmtId="44" fontId="0" fillId="4" borderId="3" xfId="17" applyNumberFormat="1" applyFill="1" applyBorder="1" applyAlignment="1">
      <alignment/>
    </xf>
    <xf numFmtId="8" fontId="0" fillId="4" borderId="3" xfId="17" applyNumberFormat="1" applyFill="1" applyBorder="1" applyAlignment="1">
      <alignment/>
    </xf>
    <xf numFmtId="0" fontId="0" fillId="3" borderId="3" xfId="0" applyFill="1" applyBorder="1" applyAlignment="1">
      <alignment horizontal="left"/>
    </xf>
    <xf numFmtId="0" fontId="0" fillId="0" borderId="0" xfId="0" applyAlignment="1" quotePrefix="1">
      <alignment/>
    </xf>
    <xf numFmtId="0" fontId="6" fillId="2" borderId="5" xfId="0" applyFont="1" applyFill="1" applyBorder="1" applyAlignment="1">
      <alignment/>
    </xf>
    <xf numFmtId="0" fontId="6" fillId="2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4" fontId="0" fillId="5" borderId="7" xfId="17" applyFont="1" applyFill="1" applyBorder="1" applyAlignment="1">
      <alignment/>
    </xf>
    <xf numFmtId="7" fontId="0" fillId="5" borderId="7" xfId="17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8" fillId="5" borderId="8" xfId="0" applyFont="1" applyFill="1" applyBorder="1" applyAlignment="1">
      <alignment horizontal="center" wrapText="1"/>
    </xf>
    <xf numFmtId="0" fontId="8" fillId="5" borderId="9" xfId="0" applyFont="1" applyFill="1" applyBorder="1" applyAlignment="1">
      <alignment horizontal="center" wrapText="1"/>
    </xf>
    <xf numFmtId="0" fontId="8" fillId="5" borderId="10" xfId="0" applyFont="1" applyFill="1" applyBorder="1" applyAlignment="1">
      <alignment horizontal="center" wrapText="1"/>
    </xf>
    <xf numFmtId="7" fontId="0" fillId="5" borderId="11" xfId="17" applyNumberFormat="1" applyFont="1" applyFill="1" applyBorder="1" applyAlignment="1">
      <alignment/>
    </xf>
    <xf numFmtId="0" fontId="0" fillId="5" borderId="12" xfId="0" applyFill="1" applyBorder="1" applyAlignment="1">
      <alignment horizontal="center"/>
    </xf>
    <xf numFmtId="0" fontId="6" fillId="2" borderId="3" xfId="0" applyFont="1" applyFill="1" applyBorder="1" applyAlignment="1">
      <alignment/>
    </xf>
    <xf numFmtId="44" fontId="0" fillId="6" borderId="3" xfId="0" applyNumberFormat="1" applyFill="1" applyBorder="1" applyAlignment="1">
      <alignment/>
    </xf>
    <xf numFmtId="0" fontId="0" fillId="6" borderId="3" xfId="0" applyFill="1" applyBorder="1" applyAlignment="1">
      <alignment/>
    </xf>
    <xf numFmtId="9" fontId="0" fillId="6" borderId="3" xfId="19" applyFill="1" applyBorder="1" applyAlignment="1">
      <alignment/>
    </xf>
    <xf numFmtId="44" fontId="0" fillId="5" borderId="7" xfId="17" applyNumberFormat="1" applyFon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0" fillId="5" borderId="0" xfId="0" applyFill="1" applyBorder="1" applyAlignment="1">
      <alignment horizontal="right"/>
    </xf>
    <xf numFmtId="0" fontId="11" fillId="7" borderId="16" xfId="0" applyFont="1" applyFill="1" applyBorder="1" applyAlignment="1">
      <alignment/>
    </xf>
    <xf numFmtId="0" fontId="5" fillId="7" borderId="17" xfId="0" applyFont="1" applyFill="1" applyBorder="1" applyAlignment="1">
      <alignment/>
    </xf>
    <xf numFmtId="0" fontId="0" fillId="7" borderId="13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18" xfId="0" applyFill="1" applyBorder="1" applyAlignment="1">
      <alignment/>
    </xf>
    <xf numFmtId="0" fontId="0" fillId="7" borderId="19" xfId="0" applyFill="1" applyBorder="1" applyAlignment="1">
      <alignment/>
    </xf>
    <xf numFmtId="0" fontId="0" fillId="7" borderId="20" xfId="0" applyFill="1" applyBorder="1" applyAlignment="1">
      <alignment/>
    </xf>
    <xf numFmtId="0" fontId="0" fillId="7" borderId="1" xfId="0" applyFill="1" applyBorder="1" applyAlignment="1">
      <alignment/>
    </xf>
    <xf numFmtId="0" fontId="0" fillId="7" borderId="20" xfId="0" applyFill="1" applyBorder="1" applyAlignment="1">
      <alignment/>
    </xf>
    <xf numFmtId="0" fontId="0" fillId="7" borderId="21" xfId="0" applyFill="1" applyBorder="1" applyAlignment="1">
      <alignment/>
    </xf>
    <xf numFmtId="0" fontId="0" fillId="7" borderId="22" xfId="0" applyFill="1" applyBorder="1" applyAlignment="1">
      <alignment/>
    </xf>
    <xf numFmtId="0" fontId="0" fillId="7" borderId="23" xfId="0" applyFill="1" applyBorder="1" applyAlignment="1">
      <alignment/>
    </xf>
    <xf numFmtId="5" fontId="0" fillId="7" borderId="24" xfId="17" applyNumberFormat="1" applyFill="1" applyBorder="1" applyAlignment="1">
      <alignment/>
    </xf>
    <xf numFmtId="0" fontId="0" fillId="7" borderId="13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7" borderId="15" xfId="0" applyFill="1" applyBorder="1" applyAlignment="1">
      <alignment/>
    </xf>
    <xf numFmtId="0" fontId="0" fillId="7" borderId="17" xfId="0" applyFill="1" applyBorder="1" applyAlignment="1">
      <alignment/>
    </xf>
    <xf numFmtId="0" fontId="0" fillId="7" borderId="24" xfId="0" applyFont="1" applyFill="1" applyBorder="1" applyAlignment="1">
      <alignment/>
    </xf>
    <xf numFmtId="10" fontId="0" fillId="7" borderId="3" xfId="19" applyNumberFormat="1" applyFill="1" applyBorder="1" applyAlignment="1">
      <alignment/>
    </xf>
    <xf numFmtId="0" fontId="0" fillId="7" borderId="25" xfId="0" applyFill="1" applyBorder="1" applyAlignment="1">
      <alignment horizontal="center"/>
    </xf>
    <xf numFmtId="10" fontId="0" fillId="7" borderId="26" xfId="19" applyNumberFormat="1" applyFill="1" applyBorder="1" applyAlignment="1">
      <alignment/>
    </xf>
    <xf numFmtId="0" fontId="0" fillId="7" borderId="27" xfId="0" applyFill="1" applyBorder="1" applyAlignment="1">
      <alignment horizontal="center"/>
    </xf>
    <xf numFmtId="0" fontId="0" fillId="7" borderId="14" xfId="0" applyFill="1" applyBorder="1" applyAlignment="1">
      <alignment/>
    </xf>
    <xf numFmtId="0" fontId="0" fillId="7" borderId="15" xfId="0" applyFill="1" applyBorder="1" applyAlignment="1">
      <alignment/>
    </xf>
    <xf numFmtId="7" fontId="0" fillId="0" borderId="0" xfId="0" applyNumberFormat="1" applyBorder="1" applyAlignment="1">
      <alignment/>
    </xf>
    <xf numFmtId="0" fontId="7" fillId="5" borderId="0" xfId="0" applyFont="1" applyFill="1" applyBorder="1" applyAlignment="1">
      <alignment horizontal="center"/>
    </xf>
    <xf numFmtId="0" fontId="0" fillId="5" borderId="24" xfId="0" applyFill="1" applyBorder="1" applyAlignment="1">
      <alignment/>
    </xf>
    <xf numFmtId="0" fontId="4" fillId="5" borderId="0" xfId="0" applyFont="1" applyFill="1" applyBorder="1" applyAlignment="1">
      <alignment/>
    </xf>
    <xf numFmtId="0" fontId="0" fillId="5" borderId="28" xfId="0" applyFill="1" applyBorder="1" applyAlignment="1">
      <alignment/>
    </xf>
    <xf numFmtId="0" fontId="0" fillId="0" borderId="0" xfId="0" applyNumberFormat="1" applyBorder="1" applyAlignment="1">
      <alignment/>
    </xf>
    <xf numFmtId="5" fontId="0" fillId="8" borderId="24" xfId="17" applyNumberFormat="1" applyFont="1" applyFill="1" applyBorder="1" applyAlignment="1">
      <alignment/>
    </xf>
    <xf numFmtId="0" fontId="0" fillId="8" borderId="24" xfId="0" applyFont="1" applyFill="1" applyBorder="1" applyAlignment="1">
      <alignment/>
    </xf>
    <xf numFmtId="174" fontId="0" fillId="8" borderId="24" xfId="0" applyNumberFormat="1" applyFont="1" applyFill="1" applyBorder="1" applyAlignment="1">
      <alignment/>
    </xf>
    <xf numFmtId="0" fontId="0" fillId="8" borderId="28" xfId="0" applyFont="1" applyFill="1" applyBorder="1" applyAlignment="1">
      <alignment/>
    </xf>
    <xf numFmtId="0" fontId="0" fillId="8" borderId="0" xfId="0" applyFont="1" applyFill="1" applyBorder="1" applyAlignment="1">
      <alignment horizontal="center"/>
    </xf>
    <xf numFmtId="0" fontId="0" fillId="8" borderId="15" xfId="0" applyFont="1" applyFill="1" applyBorder="1" applyAlignment="1">
      <alignment horizontal="center"/>
    </xf>
    <xf numFmtId="0" fontId="20" fillId="7" borderId="0" xfId="0" applyFont="1" applyFill="1" applyBorder="1" applyAlignment="1">
      <alignment/>
    </xf>
    <xf numFmtId="9" fontId="0" fillId="8" borderId="0" xfId="19" applyNumberFormat="1" applyFont="1" applyFill="1" applyBorder="1" applyAlignment="1">
      <alignment/>
    </xf>
    <xf numFmtId="9" fontId="0" fillId="8" borderId="15" xfId="19" applyNumberFormat="1" applyFont="1" applyFill="1" applyBorder="1" applyAlignment="1">
      <alignment/>
    </xf>
    <xf numFmtId="0" fontId="22" fillId="7" borderId="13" xfId="0" applyFont="1" applyFill="1" applyBorder="1" applyAlignment="1">
      <alignment/>
    </xf>
    <xf numFmtId="0" fontId="22" fillId="7" borderId="0" xfId="0" applyFont="1" applyFill="1" applyBorder="1" applyAlignment="1">
      <alignment/>
    </xf>
    <xf numFmtId="0" fontId="22" fillId="7" borderId="14" xfId="0" applyFont="1" applyFill="1" applyBorder="1" applyAlignment="1">
      <alignment/>
    </xf>
    <xf numFmtId="0" fontId="22" fillId="7" borderId="15" xfId="0" applyFont="1" applyFill="1" applyBorder="1" applyAlignment="1">
      <alignment/>
    </xf>
    <xf numFmtId="0" fontId="0" fillId="3" borderId="29" xfId="0" applyFill="1" applyBorder="1" applyAlignment="1">
      <alignment/>
    </xf>
    <xf numFmtId="7" fontId="19" fillId="7" borderId="0" xfId="17" applyNumberFormat="1" applyFont="1" applyFill="1" applyBorder="1" applyAlignment="1">
      <alignment horizontal="right"/>
    </xf>
    <xf numFmtId="7" fontId="19" fillId="7" borderId="24" xfId="17" applyNumberFormat="1" applyFont="1" applyFill="1" applyBorder="1" applyAlignment="1">
      <alignment horizontal="right"/>
    </xf>
    <xf numFmtId="0" fontId="0" fillId="7" borderId="15" xfId="0" applyFill="1" applyBorder="1" applyAlignment="1">
      <alignment horizontal="right"/>
    </xf>
    <xf numFmtId="0" fontId="0" fillId="7" borderId="28" xfId="0" applyFill="1" applyBorder="1" applyAlignment="1">
      <alignment horizontal="right"/>
    </xf>
    <xf numFmtId="0" fontId="16" fillId="9" borderId="30" xfId="0" applyFont="1" applyFill="1" applyBorder="1" applyAlignment="1">
      <alignment horizontal="left"/>
    </xf>
    <xf numFmtId="0" fontId="16" fillId="9" borderId="31" xfId="0" applyFont="1" applyFill="1" applyBorder="1" applyAlignment="1">
      <alignment horizontal="left"/>
    </xf>
    <xf numFmtId="0" fontId="16" fillId="9" borderId="32" xfId="0" applyFont="1" applyFill="1" applyBorder="1" applyAlignment="1">
      <alignment horizontal="left"/>
    </xf>
    <xf numFmtId="0" fontId="10" fillId="7" borderId="0" xfId="0" applyFont="1" applyFill="1" applyBorder="1" applyAlignment="1">
      <alignment horizontal="center" wrapText="1"/>
    </xf>
    <xf numFmtId="0" fontId="0" fillId="7" borderId="0" xfId="0" applyFill="1" applyAlignment="1">
      <alignment/>
    </xf>
    <xf numFmtId="0" fontId="0" fillId="7" borderId="19" xfId="0" applyFill="1" applyBorder="1" applyAlignment="1">
      <alignment/>
    </xf>
    <xf numFmtId="0" fontId="10" fillId="7" borderId="24" xfId="0" applyFont="1" applyFill="1" applyBorder="1" applyAlignment="1">
      <alignment horizontal="center" wrapText="1"/>
    </xf>
    <xf numFmtId="0" fontId="0" fillId="7" borderId="24" xfId="0" applyFill="1" applyBorder="1" applyAlignment="1">
      <alignment/>
    </xf>
    <xf numFmtId="0" fontId="0" fillId="7" borderId="33" xfId="0" applyFill="1" applyBorder="1" applyAlignment="1">
      <alignment/>
    </xf>
    <xf numFmtId="0" fontId="10" fillId="7" borderId="13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7" borderId="13" xfId="0" applyFill="1" applyBorder="1" applyAlignment="1">
      <alignment/>
    </xf>
    <xf numFmtId="0" fontId="18" fillId="9" borderId="30" xfId="0" applyFont="1" applyFill="1" applyBorder="1" applyAlignment="1">
      <alignment horizontal="center"/>
    </xf>
    <xf numFmtId="0" fontId="18" fillId="9" borderId="31" xfId="0" applyFont="1" applyFill="1" applyBorder="1" applyAlignment="1">
      <alignment horizontal="center"/>
    </xf>
    <xf numFmtId="0" fontId="18" fillId="9" borderId="32" xfId="0" applyFont="1" applyFill="1" applyBorder="1" applyAlignment="1">
      <alignment horizontal="center"/>
    </xf>
    <xf numFmtId="0" fontId="16" fillId="10" borderId="30" xfId="0" applyFont="1" applyFill="1" applyBorder="1" applyAlignment="1">
      <alignment horizontal="left"/>
    </xf>
    <xf numFmtId="0" fontId="16" fillId="10" borderId="31" xfId="0" applyFont="1" applyFill="1" applyBorder="1" applyAlignment="1">
      <alignment horizontal="left"/>
    </xf>
    <xf numFmtId="0" fontId="16" fillId="10" borderId="32" xfId="0" applyFont="1" applyFill="1" applyBorder="1" applyAlignment="1">
      <alignment horizontal="left"/>
    </xf>
    <xf numFmtId="0" fontId="19" fillId="7" borderId="0" xfId="0" applyFont="1" applyFill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19" fillId="7" borderId="13" xfId="0" applyFont="1" applyFill="1" applyBorder="1" applyAlignment="1">
      <alignment horizontal="left"/>
    </xf>
    <xf numFmtId="0" fontId="19" fillId="7" borderId="0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19" fillId="7" borderId="13" xfId="0" applyFont="1" applyFill="1" applyBorder="1" applyAlignment="1">
      <alignment/>
    </xf>
    <xf numFmtId="0" fontId="0" fillId="6" borderId="13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Retirement Calculator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8725"/>
          <c:w val="0.95125"/>
          <c:h val="0.835"/>
        </c:manualLayout>
      </c:layout>
      <c:barChart>
        <c:barDir val="col"/>
        <c:grouping val="clustered"/>
        <c:varyColors val="0"/>
        <c:ser>
          <c:idx val="0"/>
          <c:order val="0"/>
          <c:tx>
            <c:v>Yearly Investment Amount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'Retirement Planner'!$M$56:$M$139</c:f>
              <c:numCache/>
            </c:numRef>
          </c:cat>
          <c:val>
            <c:numRef>
              <c:f>'Retirement Planner'!$K$56:$K$139</c:f>
              <c:numCache>
                <c:ptCount val="84"/>
                <c:pt idx="0">
                  <c:v>15.10826831062464</c:v>
                </c:pt>
                <c:pt idx="1">
                  <c:v>20.34571684468162</c:v>
                </c:pt>
                <c:pt idx="2">
                  <c:v>25.71561237069429</c:v>
                </c:pt>
                <c:pt idx="3">
                  <c:v>31.2213042687213</c:v>
                </c:pt>
                <c:pt idx="4">
                  <c:v>36.866226619474816</c:v>
                </c:pt>
                <c:pt idx="5">
                  <c:v>42.653900346269374</c:v>
                </c:pt>
                <c:pt idx="6">
                  <c:v>48.587935411137295</c:v>
                </c:pt>
                <c:pt idx="7">
                  <c:v>54.672033066480466</c:v>
                </c:pt>
                <c:pt idx="8">
                  <c:v>60.90998816366292</c:v>
                </c:pt>
                <c:pt idx="9">
                  <c:v>67.30569151998417</c:v>
                </c:pt>
                <c:pt idx="10">
                  <c:v>73.86313234550961</c:v>
                </c:pt>
                <c:pt idx="11">
                  <c:v>80.58640073127185</c:v>
                </c:pt>
                <c:pt idx="12">
                  <c:v>87.47969020039454</c:v>
                </c:pt>
                <c:pt idx="13">
                  <c:v>94.54730032373051</c:v>
                </c:pt>
                <c:pt idx="14">
                  <c:v>101.79363940164512</c:v>
                </c:pt>
                <c:pt idx="15">
                  <c:v>109.22322721361792</c:v>
                </c:pt>
                <c:pt idx="16">
                  <c:v>116.84069783737738</c:v>
                </c:pt>
                <c:pt idx="17">
                  <c:v>124.65080253932724</c:v>
                </c:pt>
                <c:pt idx="18">
                  <c:v>132.65841273806737</c:v>
                </c:pt>
                <c:pt idx="19">
                  <c:v>140.86852304285728</c:v>
                </c:pt>
                <c:pt idx="20">
                  <c:v>149.28625436891792</c:v>
                </c:pt>
                <c:pt idx="21">
                  <c:v>157.91685713151458</c:v>
                </c:pt>
                <c:pt idx="22">
                  <c:v>166.76571452081302</c:v>
                </c:pt>
                <c:pt idx="23">
                  <c:v>175.838345859552</c:v>
                </c:pt>
                <c:pt idx="24">
                  <c:v>185.14041004562594</c:v>
                </c:pt>
                <c:pt idx="25">
                  <c:v>194.6777090817252</c:v>
                </c:pt>
                <c:pt idx="26">
                  <c:v>204.45619169423563</c:v>
                </c:pt>
                <c:pt idx="27">
                  <c:v>214.4819570436544</c:v>
                </c:pt>
                <c:pt idx="28">
                  <c:v>224.76125852883652</c:v>
                </c:pt>
                <c:pt idx="29">
                  <c:v>235.3005076874449</c:v>
                </c:pt>
                <c:pt idx="30">
                  <c:v>246.10627819503696</c:v>
                </c:pt>
                <c:pt idx="31">
                  <c:v>257.18530996528153</c:v>
                </c:pt>
                <c:pt idx="32">
                  <c:v>268.5445133538645</c:v>
                </c:pt>
                <c:pt idx="33">
                  <c:v>280.1909734687041</c:v>
                </c:pt>
                <c:pt idx="34">
                  <c:v>242.1319545891654</c:v>
                </c:pt>
                <c:pt idx="35">
                  <c:v>203.11048184786526</c:v>
                </c:pt>
                <c:pt idx="36">
                  <c:v>163.10221627172209</c:v>
                </c:pt>
                <c:pt idx="37">
                  <c:v>122.08220339258055</c:v>
                </c:pt>
                <c:pt idx="38">
                  <c:v>80.02485768229087</c:v>
                </c:pt>
                <c:pt idx="39">
                  <c:v>36.90394659417514</c:v>
                </c:pt>
                <c:pt idx="40">
                  <c:v>-7.307425799072684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</c:ser>
        <c:axId val="54800021"/>
        <c:axId val="23438142"/>
      </c:barChart>
      <c:catAx>
        <c:axId val="54800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3438142"/>
        <c:crosses val="autoZero"/>
        <c:auto val="1"/>
        <c:lblOffset val="100"/>
        <c:noMultiLvlLbl val="0"/>
      </c:catAx>
      <c:valAx>
        <c:axId val="23438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Dollars (000's)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548000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725"/>
          <c:y val="0.02"/>
          <c:w val="0.19775"/>
          <c:h val="0.07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CCCC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21</xdr:row>
      <xdr:rowOff>9525</xdr:rowOff>
    </xdr:from>
    <xdr:to>
      <xdr:col>15</xdr:col>
      <xdr:colOff>28575</xdr:colOff>
      <xdr:row>41</xdr:row>
      <xdr:rowOff>142875</xdr:rowOff>
    </xdr:to>
    <xdr:graphicFrame>
      <xdr:nvGraphicFramePr>
        <xdr:cNvPr id="1" name="Chart 49"/>
        <xdr:cNvGraphicFramePr/>
      </xdr:nvGraphicFramePr>
      <xdr:xfrm>
        <a:off x="247650" y="3905250"/>
        <a:ext cx="79343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211"/>
  <sheetViews>
    <sheetView tabSelected="1" workbookViewId="0" topLeftCell="A3">
      <selection activeCell="E20" sqref="E20"/>
    </sheetView>
  </sheetViews>
  <sheetFormatPr defaultColWidth="9.140625" defaultRowHeight="12.75"/>
  <cols>
    <col min="1" max="1" width="1.28515625" style="0" customWidth="1"/>
    <col min="2" max="2" width="2.28125" style="0" customWidth="1"/>
    <col min="3" max="3" width="12.7109375" style="0" customWidth="1"/>
    <col min="4" max="4" width="20.00390625" style="0" customWidth="1"/>
    <col min="5" max="5" width="12.140625" style="0" customWidth="1"/>
    <col min="6" max="6" width="3.57421875" style="0" customWidth="1"/>
    <col min="7" max="7" width="8.421875" style="0" customWidth="1"/>
    <col min="8" max="8" width="3.00390625" style="0" customWidth="1"/>
    <col min="9" max="9" width="18.57421875" style="0" customWidth="1"/>
    <col min="10" max="10" width="2.8515625" style="0" customWidth="1"/>
    <col min="11" max="11" width="13.7109375" style="0" customWidth="1"/>
    <col min="12" max="12" width="2.28125" style="0" customWidth="1"/>
    <col min="13" max="13" width="9.7109375" style="0" customWidth="1"/>
    <col min="14" max="14" width="2.57421875" style="0" customWidth="1"/>
    <col min="16" max="16" width="2.140625" style="0" customWidth="1"/>
    <col min="19" max="19" width="22.140625" style="0" customWidth="1"/>
    <col min="20" max="20" width="16.00390625" style="0" customWidth="1"/>
    <col min="21" max="21" width="16.140625" style="0" customWidth="1"/>
    <col min="22" max="22" width="24.00390625" style="0" customWidth="1"/>
    <col min="23" max="23" width="11.57421875" style="0" customWidth="1"/>
    <col min="24" max="24" width="21.140625" style="0" bestFit="1" customWidth="1"/>
    <col min="25" max="25" width="13.00390625" style="0" customWidth="1"/>
    <col min="26" max="26" width="11.28125" style="0" bestFit="1" customWidth="1"/>
  </cols>
  <sheetData>
    <row r="1" spans="2:17" ht="27.75" customHeight="1" thickBot="1">
      <c r="B1" s="114" t="s">
        <v>127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6"/>
      <c r="Q1" t="s">
        <v>124</v>
      </c>
    </row>
    <row r="2" spans="2:16" ht="14.25" customHeight="1" thickBot="1">
      <c r="B2" s="50"/>
      <c r="C2" s="79"/>
      <c r="D2" s="79"/>
      <c r="E2" s="79"/>
      <c r="F2" s="79"/>
      <c r="G2" s="79"/>
      <c r="H2" s="79"/>
      <c r="I2" s="79"/>
      <c r="J2" s="79"/>
      <c r="K2" s="79"/>
      <c r="L2" s="49"/>
      <c r="M2" s="49"/>
      <c r="N2" s="49"/>
      <c r="O2" s="49"/>
      <c r="P2" s="80"/>
    </row>
    <row r="3" spans="2:19" ht="16.5" thickBot="1">
      <c r="B3" s="50"/>
      <c r="C3" s="117" t="s">
        <v>126</v>
      </c>
      <c r="D3" s="118"/>
      <c r="E3" s="119"/>
      <c r="F3" s="49"/>
      <c r="G3" s="20"/>
      <c r="H3" s="20"/>
      <c r="I3" s="20"/>
      <c r="J3" s="102" t="s">
        <v>63</v>
      </c>
      <c r="K3" s="103"/>
      <c r="L3" s="103"/>
      <c r="M3" s="103"/>
      <c r="N3" s="103"/>
      <c r="O3" s="104"/>
      <c r="P3" s="80"/>
      <c r="S3" s="1" t="s">
        <v>0</v>
      </c>
    </row>
    <row r="4" spans="2:16" ht="15">
      <c r="B4" s="50"/>
      <c r="C4" s="126" t="s">
        <v>135</v>
      </c>
      <c r="D4" s="127"/>
      <c r="E4" s="128"/>
      <c r="F4" s="20"/>
      <c r="G4" s="20"/>
      <c r="H4" s="20"/>
      <c r="I4" s="20"/>
      <c r="J4" s="122" t="s">
        <v>47</v>
      </c>
      <c r="K4" s="123"/>
      <c r="L4" s="124"/>
      <c r="M4" s="98">
        <f>Result_Invested</f>
        <v>178000</v>
      </c>
      <c r="N4" s="98"/>
      <c r="O4" s="99"/>
      <c r="P4" s="80"/>
    </row>
    <row r="5" spans="2:26" ht="15">
      <c r="B5" s="50"/>
      <c r="C5" s="129"/>
      <c r="D5" s="127"/>
      <c r="E5" s="128"/>
      <c r="F5" s="20"/>
      <c r="G5" s="20"/>
      <c r="H5" s="20"/>
      <c r="I5" s="20"/>
      <c r="J5" s="125" t="s">
        <v>48</v>
      </c>
      <c r="K5" s="124"/>
      <c r="L5" s="124"/>
      <c r="M5" s="98">
        <f>Result_Return</f>
        <v>292131.9545891659</v>
      </c>
      <c r="N5" s="98"/>
      <c r="O5" s="99"/>
      <c r="P5" s="80"/>
      <c r="S5" s="33" t="s">
        <v>1</v>
      </c>
      <c r="T5" s="9"/>
      <c r="W5" s="32" t="s">
        <v>15</v>
      </c>
      <c r="X5" s="10"/>
      <c r="Y5" s="10"/>
      <c r="Z5" s="11"/>
    </row>
    <row r="6" spans="2:27" ht="15">
      <c r="B6" s="50"/>
      <c r="C6" s="129"/>
      <c r="D6" s="127"/>
      <c r="E6" s="128"/>
      <c r="F6" s="20"/>
      <c r="G6" s="20"/>
      <c r="H6" s="20"/>
      <c r="I6" s="20"/>
      <c r="J6" s="125" t="s">
        <v>62</v>
      </c>
      <c r="K6" s="124"/>
      <c r="L6" s="124"/>
      <c r="M6" s="90"/>
      <c r="N6" s="120" t="str">
        <f>Result_RiskRating</f>
        <v>low</v>
      </c>
      <c r="O6" s="121"/>
      <c r="P6" s="80"/>
      <c r="S6" s="13" t="s">
        <v>53</v>
      </c>
      <c r="T6" s="45">
        <f>E13</f>
        <v>10000</v>
      </c>
      <c r="W6" s="18" t="s">
        <v>8</v>
      </c>
      <c r="X6" s="18" t="s">
        <v>50</v>
      </c>
      <c r="Y6" s="13" t="s">
        <v>11</v>
      </c>
      <c r="Z6" s="13" t="s">
        <v>12</v>
      </c>
      <c r="AA6" s="2" t="s">
        <v>13</v>
      </c>
    </row>
    <row r="7" spans="2:28" ht="13.5" thickBot="1">
      <c r="B7" s="50"/>
      <c r="C7" s="130"/>
      <c r="D7" s="131"/>
      <c r="E7" s="132"/>
      <c r="F7" s="20"/>
      <c r="G7" s="20"/>
      <c r="H7" s="20"/>
      <c r="I7" s="20"/>
      <c r="J7" s="76"/>
      <c r="K7" s="77"/>
      <c r="L7" s="77"/>
      <c r="M7" s="100"/>
      <c r="N7" s="100"/>
      <c r="O7" s="101"/>
      <c r="P7" s="80"/>
      <c r="S7" s="13" t="s">
        <v>52</v>
      </c>
      <c r="T7" s="45">
        <f>E14</f>
        <v>400</v>
      </c>
      <c r="W7" s="23">
        <v>0</v>
      </c>
      <c r="X7" s="23" t="s">
        <v>39</v>
      </c>
      <c r="Y7" s="22">
        <v>0</v>
      </c>
      <c r="Z7" s="19">
        <v>0</v>
      </c>
      <c r="AB7" s="31"/>
    </row>
    <row r="8" spans="2:26" ht="13.5" thickBot="1">
      <c r="B8" s="50"/>
      <c r="C8" s="49"/>
      <c r="D8" s="49"/>
      <c r="E8" s="53"/>
      <c r="F8" s="49"/>
      <c r="G8" s="49"/>
      <c r="H8" s="49"/>
      <c r="I8" s="49"/>
      <c r="J8" s="49"/>
      <c r="K8" s="49"/>
      <c r="L8" s="49"/>
      <c r="M8" s="49"/>
      <c r="N8" s="49"/>
      <c r="O8" s="49"/>
      <c r="P8" s="80"/>
      <c r="S8" s="13" t="s">
        <v>2</v>
      </c>
      <c r="T8" s="46">
        <f>E16-E15</f>
        <v>35</v>
      </c>
      <c r="U8" t="s">
        <v>34</v>
      </c>
      <c r="W8" s="23">
        <v>1</v>
      </c>
      <c r="X8" s="23" t="s">
        <v>40</v>
      </c>
      <c r="Y8" s="21">
        <v>0</v>
      </c>
      <c r="Z8" s="19">
        <v>1</v>
      </c>
    </row>
    <row r="9" spans="2:26" ht="16.5" thickBot="1">
      <c r="B9" s="50"/>
      <c r="C9" s="102" t="s">
        <v>56</v>
      </c>
      <c r="D9" s="103"/>
      <c r="E9" s="104"/>
      <c r="F9" s="49"/>
      <c r="G9" s="102" t="s">
        <v>57</v>
      </c>
      <c r="H9" s="103"/>
      <c r="I9" s="103"/>
      <c r="J9" s="103"/>
      <c r="K9" s="103"/>
      <c r="L9" s="103"/>
      <c r="M9" s="103"/>
      <c r="N9" s="103"/>
      <c r="O9" s="104"/>
      <c r="P9" s="80"/>
      <c r="S9" s="13" t="s">
        <v>3</v>
      </c>
      <c r="T9" s="46">
        <f ca="1">OFFSET($W$6,MATCH(Input_Invest1Vehicle,Invest_Choices,0),0)</f>
        <v>2</v>
      </c>
      <c r="U9" s="15" t="str">
        <f>I15</f>
        <v>Savings Account</v>
      </c>
      <c r="W9" s="23">
        <v>2</v>
      </c>
      <c r="X9" s="23" t="s">
        <v>9</v>
      </c>
      <c r="Y9" s="22">
        <v>0.025</v>
      </c>
      <c r="Z9" s="19">
        <v>1</v>
      </c>
    </row>
    <row r="10" spans="2:26" ht="12.75">
      <c r="B10" s="50"/>
      <c r="C10" s="54" t="s">
        <v>58</v>
      </c>
      <c r="D10" s="55"/>
      <c r="E10" s="65"/>
      <c r="F10" s="49"/>
      <c r="G10" s="54" t="s">
        <v>59</v>
      </c>
      <c r="H10" s="55"/>
      <c r="I10" s="70"/>
      <c r="J10" s="70"/>
      <c r="K10" s="70"/>
      <c r="L10" s="70"/>
      <c r="M10" s="70"/>
      <c r="N10" s="70"/>
      <c r="O10" s="65"/>
      <c r="P10" s="80"/>
      <c r="S10" s="13" t="s">
        <v>10</v>
      </c>
      <c r="T10" s="47">
        <f>K15</f>
        <v>1</v>
      </c>
      <c r="W10" s="23">
        <v>3</v>
      </c>
      <c r="X10" s="23" t="s">
        <v>45</v>
      </c>
      <c r="Y10" s="22">
        <v>0.04</v>
      </c>
      <c r="Z10" s="19">
        <v>2</v>
      </c>
    </row>
    <row r="11" spans="2:26" ht="14.25" customHeight="1">
      <c r="B11" s="50"/>
      <c r="C11" s="56"/>
      <c r="D11" s="57"/>
      <c r="E11" s="66"/>
      <c r="F11" s="49"/>
      <c r="G11" s="67"/>
      <c r="H11" s="68"/>
      <c r="I11" s="68"/>
      <c r="J11" s="68"/>
      <c r="K11" s="68"/>
      <c r="L11" s="68"/>
      <c r="M11" s="68"/>
      <c r="N11" s="68"/>
      <c r="O11" s="71"/>
      <c r="P11" s="80"/>
      <c r="S11" s="13" t="s">
        <v>4</v>
      </c>
      <c r="T11" s="46">
        <f ca="1">OFFSET($W$6,MATCH(Input_Invest2Vehicle,Invest_Choices,0),0)</f>
        <v>0</v>
      </c>
      <c r="U11" s="15" t="str">
        <f>I16</f>
        <v>None</v>
      </c>
      <c r="W11" s="23">
        <v>4</v>
      </c>
      <c r="X11" s="23" t="s">
        <v>41</v>
      </c>
      <c r="Y11" s="22">
        <v>0.055</v>
      </c>
      <c r="Z11" s="19">
        <v>1</v>
      </c>
    </row>
    <row r="12" spans="2:26" ht="12.75">
      <c r="B12" s="50"/>
      <c r="C12" s="58"/>
      <c r="D12" s="59"/>
      <c r="E12" s="66"/>
      <c r="F12" s="49"/>
      <c r="G12" s="111" t="s">
        <v>50</v>
      </c>
      <c r="H12" s="112"/>
      <c r="I12" s="105" t="s">
        <v>60</v>
      </c>
      <c r="J12" s="68"/>
      <c r="K12" s="105" t="s">
        <v>61</v>
      </c>
      <c r="L12" s="68"/>
      <c r="M12" s="105" t="s">
        <v>132</v>
      </c>
      <c r="N12" s="68"/>
      <c r="O12" s="108" t="s">
        <v>62</v>
      </c>
      <c r="P12" s="80"/>
      <c r="S12" s="13" t="s">
        <v>10</v>
      </c>
      <c r="T12" s="47">
        <f>K16</f>
        <v>0</v>
      </c>
      <c r="W12" s="19">
        <v>5</v>
      </c>
      <c r="X12" s="26" t="s">
        <v>42</v>
      </c>
      <c r="Y12" s="25">
        <v>0.08</v>
      </c>
      <c r="Z12" s="24">
        <v>3</v>
      </c>
    </row>
    <row r="13" spans="2:26" ht="12.75" customHeight="1">
      <c r="B13" s="50"/>
      <c r="C13" s="58" t="s">
        <v>55</v>
      </c>
      <c r="D13" s="59"/>
      <c r="E13" s="84">
        <v>10000</v>
      </c>
      <c r="F13" s="49"/>
      <c r="G13" s="113"/>
      <c r="H13" s="112"/>
      <c r="I13" s="106"/>
      <c r="J13" s="68"/>
      <c r="K13" s="106"/>
      <c r="L13" s="68"/>
      <c r="M13" s="106"/>
      <c r="N13" s="68"/>
      <c r="O13" s="109"/>
      <c r="P13" s="80"/>
      <c r="S13" s="13" t="s">
        <v>5</v>
      </c>
      <c r="T13" s="46">
        <f ca="1">OFFSET($W$6,MATCH(Input_Invest3Vehicle,Invest_Choices,0),0)</f>
        <v>0</v>
      </c>
      <c r="U13" s="15" t="str">
        <f>I17</f>
        <v>None</v>
      </c>
      <c r="W13" s="23">
        <v>6</v>
      </c>
      <c r="X13" s="23" t="s">
        <v>43</v>
      </c>
      <c r="Y13" s="22">
        <v>0.105</v>
      </c>
      <c r="Z13" s="19">
        <v>4</v>
      </c>
    </row>
    <row r="14" spans="2:26" ht="12.75">
      <c r="B14" s="50"/>
      <c r="C14" s="60" t="s">
        <v>136</v>
      </c>
      <c r="D14" s="61"/>
      <c r="E14" s="84">
        <v>400</v>
      </c>
      <c r="F14" s="49"/>
      <c r="G14" s="113"/>
      <c r="H14" s="112"/>
      <c r="I14" s="106"/>
      <c r="J14" s="57"/>
      <c r="K14" s="106"/>
      <c r="L14" s="57"/>
      <c r="M14" s="107"/>
      <c r="N14" s="57"/>
      <c r="O14" s="110"/>
      <c r="P14" s="80"/>
      <c r="S14" s="13" t="s">
        <v>10</v>
      </c>
      <c r="T14" s="47">
        <f>K17</f>
        <v>0</v>
      </c>
      <c r="W14" s="23">
        <v>7</v>
      </c>
      <c r="X14" s="23" t="s">
        <v>44</v>
      </c>
      <c r="Y14" s="22">
        <v>0.0725</v>
      </c>
      <c r="Z14" s="19">
        <v>5</v>
      </c>
    </row>
    <row r="15" spans="2:26" ht="12.75">
      <c r="B15" s="50"/>
      <c r="C15" s="60" t="s">
        <v>134</v>
      </c>
      <c r="D15" s="61"/>
      <c r="E15" s="85">
        <v>30</v>
      </c>
      <c r="F15" s="49"/>
      <c r="G15" s="93">
        <v>1</v>
      </c>
      <c r="H15" s="94"/>
      <c r="I15" s="88" t="s">
        <v>9</v>
      </c>
      <c r="J15" s="57"/>
      <c r="K15" s="91">
        <v>1</v>
      </c>
      <c r="L15" s="57"/>
      <c r="M15" s="72">
        <f>Calc_Invest1ROI</f>
        <v>0.025</v>
      </c>
      <c r="N15" s="57"/>
      <c r="O15" s="73" t="str">
        <f>Calc_Invest1Risk</f>
        <v>low</v>
      </c>
      <c r="P15" s="80"/>
      <c r="S15" s="13" t="s">
        <v>6</v>
      </c>
      <c r="T15" s="46">
        <f ca="1">OFFSET($W$6,MATCH(Input_Invest4Vehicle,Invest_Choices,0),0)</f>
        <v>0</v>
      </c>
      <c r="U15" s="15" t="str">
        <f>I18</f>
        <v>None</v>
      </c>
      <c r="W15" s="23">
        <v>8</v>
      </c>
      <c r="X15" s="23" t="s">
        <v>133</v>
      </c>
      <c r="Y15" s="22">
        <v>0.09</v>
      </c>
      <c r="Z15" s="19">
        <v>5</v>
      </c>
    </row>
    <row r="16" spans="2:20" ht="12.75">
      <c r="B16" s="50"/>
      <c r="C16" s="60" t="s">
        <v>137</v>
      </c>
      <c r="D16" s="61"/>
      <c r="E16" s="85">
        <v>65</v>
      </c>
      <c r="F16" s="49"/>
      <c r="G16" s="93">
        <v>2</v>
      </c>
      <c r="H16" s="94"/>
      <c r="I16" s="88" t="s">
        <v>39</v>
      </c>
      <c r="J16" s="57"/>
      <c r="K16" s="91">
        <v>0</v>
      </c>
      <c r="L16" s="57"/>
      <c r="M16" s="72">
        <f>Calc_Invest2ROI</f>
        <v>0</v>
      </c>
      <c r="N16" s="57"/>
      <c r="O16" s="73" t="str">
        <f>Calc_Invest2Risk</f>
        <v>none</v>
      </c>
      <c r="P16" s="80"/>
      <c r="S16" s="13" t="s">
        <v>10</v>
      </c>
      <c r="T16" s="47">
        <f>K18</f>
        <v>0</v>
      </c>
    </row>
    <row r="17" spans="2:20" ht="12.75">
      <c r="B17" s="50"/>
      <c r="C17" s="60" t="s">
        <v>120</v>
      </c>
      <c r="D17" s="61"/>
      <c r="E17" s="85">
        <v>70</v>
      </c>
      <c r="F17" s="49"/>
      <c r="G17" s="93">
        <v>3</v>
      </c>
      <c r="H17" s="94"/>
      <c r="I17" s="88" t="s">
        <v>39</v>
      </c>
      <c r="J17" s="57"/>
      <c r="K17" s="91">
        <v>0</v>
      </c>
      <c r="L17" s="57"/>
      <c r="M17" s="72">
        <f>Calc_Invest3ROI</f>
        <v>0</v>
      </c>
      <c r="N17" s="57"/>
      <c r="O17" s="73" t="str">
        <f>Calc_Invest3Risk</f>
        <v>none</v>
      </c>
      <c r="P17" s="80"/>
      <c r="S17" s="13"/>
      <c r="T17" s="47"/>
    </row>
    <row r="18" spans="2:20" ht="12.75">
      <c r="B18" s="50"/>
      <c r="C18" s="62" t="s">
        <v>123</v>
      </c>
      <c r="D18" s="61"/>
      <c r="E18" s="86">
        <v>50000</v>
      </c>
      <c r="F18" s="49"/>
      <c r="G18" s="93">
        <v>4</v>
      </c>
      <c r="H18" s="94"/>
      <c r="I18" s="88" t="s">
        <v>39</v>
      </c>
      <c r="J18" s="57"/>
      <c r="K18" s="91">
        <v>0</v>
      </c>
      <c r="L18" s="57"/>
      <c r="M18" s="72">
        <f>Calc_Invest4ROI</f>
        <v>0</v>
      </c>
      <c r="N18" s="57"/>
      <c r="O18" s="73" t="str">
        <f>Calc_Invest4Risk</f>
        <v>none</v>
      </c>
      <c r="P18" s="80"/>
      <c r="S18" s="13"/>
      <c r="T18" s="47"/>
    </row>
    <row r="19" spans="2:24" ht="13.5" thickBot="1">
      <c r="B19" s="50"/>
      <c r="C19" s="63" t="s">
        <v>122</v>
      </c>
      <c r="D19" s="64"/>
      <c r="E19" s="87">
        <v>2006</v>
      </c>
      <c r="F19" s="49"/>
      <c r="G19" s="95">
        <v>5</v>
      </c>
      <c r="H19" s="96"/>
      <c r="I19" s="89" t="s">
        <v>39</v>
      </c>
      <c r="J19" s="69"/>
      <c r="K19" s="92">
        <v>0</v>
      </c>
      <c r="L19" s="69"/>
      <c r="M19" s="74">
        <f>Calc_Invest5ROI</f>
        <v>0</v>
      </c>
      <c r="N19" s="69"/>
      <c r="O19" s="75" t="str">
        <f>Calc_Invest5Risk</f>
        <v>none</v>
      </c>
      <c r="P19" s="80"/>
      <c r="S19" s="13" t="s">
        <v>7</v>
      </c>
      <c r="T19" s="46">
        <f ca="1">OFFSET($W$6,MATCH(Input_Invest5Vehicle,Invest_Choices,0),0)</f>
        <v>0</v>
      </c>
      <c r="U19" s="15" t="str">
        <f>I19</f>
        <v>None</v>
      </c>
      <c r="W19" s="32" t="s">
        <v>14</v>
      </c>
      <c r="X19" s="12"/>
    </row>
    <row r="20" spans="2:26" ht="13.5" thickBot="1">
      <c r="B20" s="50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80"/>
      <c r="S20" s="13" t="s">
        <v>10</v>
      </c>
      <c r="T20" s="47">
        <f>K19</f>
        <v>0</v>
      </c>
      <c r="W20" s="13" t="s">
        <v>37</v>
      </c>
      <c r="X20" s="13" t="s">
        <v>38</v>
      </c>
      <c r="Y20" s="3"/>
      <c r="Z20" s="4"/>
    </row>
    <row r="21" spans="2:26" ht="16.5" thickBot="1">
      <c r="B21" s="50"/>
      <c r="C21" s="102" t="s">
        <v>67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4"/>
      <c r="P21" s="80"/>
      <c r="W21" s="19">
        <v>0</v>
      </c>
      <c r="X21" s="19" t="s">
        <v>54</v>
      </c>
      <c r="Y21" s="3"/>
      <c r="Z21" s="4"/>
    </row>
    <row r="22" spans="2:26" ht="12.75">
      <c r="B22" s="50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80"/>
      <c r="S22" s="33" t="s">
        <v>32</v>
      </c>
      <c r="T22" s="9"/>
      <c r="W22" s="19">
        <v>1</v>
      </c>
      <c r="X22" s="19" t="s">
        <v>17</v>
      </c>
      <c r="Y22" s="3"/>
      <c r="Z22" s="4"/>
    </row>
    <row r="23" spans="2:26" ht="12.75">
      <c r="B23" s="50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80"/>
      <c r="S23" s="13" t="s">
        <v>21</v>
      </c>
      <c r="T23" s="14">
        <f ca="1">OFFSET($W$6,MATCH(Input_Invest1Vehicle,Invest_Choices,0),2)</f>
        <v>0.025</v>
      </c>
      <c r="W23" s="19">
        <v>2</v>
      </c>
      <c r="X23" s="19" t="s">
        <v>19</v>
      </c>
      <c r="Y23" s="3"/>
      <c r="Z23" s="4"/>
    </row>
    <row r="24" spans="2:26" ht="12.75">
      <c r="B24" s="50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80"/>
      <c r="S24" s="13" t="s">
        <v>23</v>
      </c>
      <c r="T24" s="14">
        <f ca="1">OFFSET($W$6,MATCH(Input_Invest2Vehicle,Invest_Choices,0),2)</f>
        <v>0</v>
      </c>
      <c r="W24" s="19">
        <v>3</v>
      </c>
      <c r="X24" s="19" t="s">
        <v>18</v>
      </c>
      <c r="Y24" s="3"/>
      <c r="Z24" s="4"/>
    </row>
    <row r="25" spans="2:26" ht="12.75">
      <c r="B25" s="50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80"/>
      <c r="S25" s="13" t="s">
        <v>25</v>
      </c>
      <c r="T25" s="14">
        <f ca="1">OFFSET($W$6,MATCH(Input_Invest3Vehicle,Invest_Choices,0),2)</f>
        <v>0</v>
      </c>
      <c r="W25" s="19">
        <v>4</v>
      </c>
      <c r="X25" s="19" t="s">
        <v>20</v>
      </c>
      <c r="Y25" s="3"/>
      <c r="Z25" s="4"/>
    </row>
    <row r="26" spans="2:26" ht="12.75">
      <c r="B26" s="50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80"/>
      <c r="S26" s="13" t="s">
        <v>29</v>
      </c>
      <c r="T26" s="14">
        <f ca="1">OFFSET($W$6,MATCH(Input_Invest5Vehicle,Invest_Choices,0),2)</f>
        <v>0</v>
      </c>
      <c r="W26" s="19">
        <v>5</v>
      </c>
      <c r="X26" s="19" t="s">
        <v>16</v>
      </c>
      <c r="Y26" s="3"/>
      <c r="Z26" s="4"/>
    </row>
    <row r="27" spans="2:26" ht="12.75">
      <c r="B27" s="50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80"/>
      <c r="S27" s="13" t="s">
        <v>28</v>
      </c>
      <c r="T27" s="14">
        <f ca="1">OFFSET($W$6,MATCH(Input_Invest4Vehicle,Invest_Choices,0),2)</f>
        <v>0</v>
      </c>
      <c r="W27" s="19">
        <v>5</v>
      </c>
      <c r="X27" s="19" t="s">
        <v>16</v>
      </c>
      <c r="Y27" s="3"/>
      <c r="Z27" s="4"/>
    </row>
    <row r="28" spans="2:26" ht="12.75">
      <c r="B28" s="50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80"/>
      <c r="S28" s="13" t="s">
        <v>29</v>
      </c>
      <c r="T28" s="14">
        <f ca="1">OFFSET($W$6,MATCH(Input_Invest5Vehicle,Invest_Choices,0),2)</f>
        <v>0</v>
      </c>
      <c r="Y28" s="3"/>
      <c r="Z28" s="4"/>
    </row>
    <row r="29" spans="2:26" ht="15.75">
      <c r="B29" s="50"/>
      <c r="C29" s="49"/>
      <c r="D29" s="81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80"/>
      <c r="S29" s="13" t="s">
        <v>31</v>
      </c>
      <c r="T29" s="14">
        <f>Input_Invest1Percent*Calc_Invest1ROI+Input_Invest2Percent*Calc_Invest2ROI+Input_Invest3Percent*Calc_Invest3ROI+Input_Invest4Percent*Calc_Invest4ROI+Input_Invest5Percent*Calc_Invest5ROI</f>
        <v>0.025</v>
      </c>
      <c r="U29" s="17">
        <f>Calc_WeightAveROI/12</f>
        <v>0.0020833333333333333</v>
      </c>
      <c r="X29" s="44" t="s">
        <v>68</v>
      </c>
      <c r="Y29" s="3"/>
      <c r="Z29" s="4"/>
    </row>
    <row r="30" spans="2:26" ht="12.75">
      <c r="B30" s="50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80"/>
      <c r="S30" s="13" t="s">
        <v>22</v>
      </c>
      <c r="T30" s="15">
        <f ca="1">OFFSET($W$6,MATCH(Input_Invest1Vehicle,Invest_Choices,0),3)</f>
        <v>1</v>
      </c>
      <c r="U30" t="str">
        <f aca="true" t="shared" si="0" ref="U30:U35">LOOKUP(T30,W$21:W$27,X$21:X$27)</f>
        <v>low</v>
      </c>
      <c r="X30" s="19">
        <v>5</v>
      </c>
      <c r="Y30" s="3"/>
      <c r="Z30" s="4"/>
    </row>
    <row r="31" spans="2:26" ht="12.75">
      <c r="B31" s="50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80"/>
      <c r="S31" s="13" t="s">
        <v>24</v>
      </c>
      <c r="T31" s="15">
        <f ca="1">OFFSET($W$6,MATCH(Input_Invest2Vehicle,Invest_Choices,0),3)</f>
        <v>0</v>
      </c>
      <c r="U31" t="str">
        <f t="shared" si="0"/>
        <v>none</v>
      </c>
      <c r="X31" s="19">
        <v>10</v>
      </c>
      <c r="Y31" s="3"/>
      <c r="Z31" s="4"/>
    </row>
    <row r="32" spans="2:26" ht="12.75">
      <c r="B32" s="50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80"/>
      <c r="S32" s="13" t="s">
        <v>27</v>
      </c>
      <c r="T32" s="15">
        <f ca="1">OFFSET($W$6,MATCH(Input_Invest3Vehicle,Invest_Choices,0),3)</f>
        <v>0</v>
      </c>
      <c r="U32" t="str">
        <f t="shared" si="0"/>
        <v>none</v>
      </c>
      <c r="X32" s="19">
        <v>15</v>
      </c>
      <c r="Y32" s="3"/>
      <c r="Z32" s="4"/>
    </row>
    <row r="33" spans="2:26" ht="12.75">
      <c r="B33" s="50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80"/>
      <c r="S33" s="13" t="s">
        <v>26</v>
      </c>
      <c r="T33" s="15">
        <f ca="1">OFFSET($W$6,MATCH(Input_Invest4Vehicle,Invest_Choices,0),3)</f>
        <v>0</v>
      </c>
      <c r="U33" t="str">
        <f t="shared" si="0"/>
        <v>none</v>
      </c>
      <c r="X33" s="19">
        <v>20</v>
      </c>
      <c r="Y33" s="3"/>
      <c r="Z33" s="4"/>
    </row>
    <row r="34" spans="2:26" ht="12.75">
      <c r="B34" s="50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80"/>
      <c r="S34" s="13" t="s">
        <v>30</v>
      </c>
      <c r="T34" s="15">
        <f ca="1">OFFSET($W$6,MATCH(Input_Invest5Vehicle,Invest_Choices,0),3)</f>
        <v>0</v>
      </c>
      <c r="U34" t="str">
        <f t="shared" si="0"/>
        <v>none</v>
      </c>
      <c r="X34" s="19">
        <v>25</v>
      </c>
      <c r="Y34" s="3"/>
      <c r="Z34" s="4"/>
    </row>
    <row r="35" spans="2:26" ht="12.75">
      <c r="B35" s="50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80"/>
      <c r="S35" s="13" t="s">
        <v>33</v>
      </c>
      <c r="T35" s="16">
        <f>(Input_Invest1Percent*T30)+(Input_Invest2Percent*T31)+(Input_Invest3Percent*T32)+(Input_Invest4Percent*T33)+(Input_Invest5Percent*T34)</f>
        <v>1</v>
      </c>
      <c r="U35" t="str">
        <f t="shared" si="0"/>
        <v>low</v>
      </c>
      <c r="X35" s="19">
        <v>30</v>
      </c>
      <c r="Y35" s="3"/>
      <c r="Z35" s="4"/>
    </row>
    <row r="36" spans="2:26" ht="12.75">
      <c r="B36" s="50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80"/>
      <c r="X36" s="19">
        <v>35</v>
      </c>
      <c r="Y36" s="3"/>
      <c r="Z36" s="4"/>
    </row>
    <row r="37" spans="2:26" ht="12.75">
      <c r="B37" s="50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80"/>
      <c r="S37" s="33" t="s">
        <v>35</v>
      </c>
      <c r="T37" s="9"/>
      <c r="X37" s="19">
        <v>40</v>
      </c>
      <c r="Y37" s="3"/>
      <c r="Z37" s="4"/>
    </row>
    <row r="38" spans="2:26" ht="12.75">
      <c r="B38" s="50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80"/>
      <c r="S38" s="30" t="s">
        <v>48</v>
      </c>
      <c r="T38" s="30" t="s">
        <v>47</v>
      </c>
      <c r="X38" s="19">
        <v>45</v>
      </c>
      <c r="Y38" s="3"/>
      <c r="Z38" s="4"/>
    </row>
    <row r="39" spans="2:26" ht="12.75">
      <c r="B39" s="50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80"/>
      <c r="S39" s="29">
        <f>FV(Calc_MoWeightAveROI,12*Input_NumInvestYears,-Input_MoInvestAmt,-Input_InitInvestAmt,0)</f>
        <v>292131.9545891659</v>
      </c>
      <c r="T39" s="28">
        <f>Input_InitInvestAmt+Input_NumInvestYears*(12*Input_MoInvestAmt)</f>
        <v>178000</v>
      </c>
      <c r="X39" s="19">
        <v>50</v>
      </c>
      <c r="Y39" s="3"/>
      <c r="Z39" s="4"/>
    </row>
    <row r="40" spans="2:26" ht="12.75">
      <c r="B40" s="50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80"/>
      <c r="Y40" s="3"/>
      <c r="Z40" s="4"/>
    </row>
    <row r="41" spans="2:26" ht="12.75">
      <c r="B41" s="50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80"/>
      <c r="S41" s="33" t="s">
        <v>46</v>
      </c>
      <c r="T41" s="9"/>
      <c r="U41" s="9"/>
      <c r="V41" s="9"/>
      <c r="W41" s="9"/>
      <c r="Y41" s="3"/>
      <c r="Z41" s="4"/>
    </row>
    <row r="42" spans="2:26" ht="12.75">
      <c r="B42" s="50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80"/>
      <c r="S42" s="13" t="s">
        <v>36</v>
      </c>
      <c r="T42" s="13" t="s">
        <v>49</v>
      </c>
      <c r="U42" s="13" t="s">
        <v>51</v>
      </c>
      <c r="V42" s="13" t="s">
        <v>138</v>
      </c>
      <c r="W42" s="97"/>
      <c r="Y42" s="3"/>
      <c r="Z42" s="4"/>
    </row>
    <row r="43" spans="2:26" ht="12.75">
      <c r="B43" s="50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80"/>
      <c r="S43" s="13">
        <v>1</v>
      </c>
      <c r="T43" s="27">
        <f>Input_InitInvestAmt</f>
        <v>10000</v>
      </c>
      <c r="U43" s="29">
        <f>IF(RetireAge-Age&gt;S43,FV(Calc_MoWeightAveROI,12,-Input_MoInvestAmt,-T43,0),FV(Calc_MoWeightAveROI,12,-Input_MoInvestAmt,-T43,0)-YearlyCost)</f>
        <v>15108.26831062464</v>
      </c>
      <c r="V43" s="28">
        <f>IF(RetireAge-Age&gt;S43,Input_InitInvestAmt+(12*Input_MoInvestAmt),0)</f>
        <v>14800</v>
      </c>
      <c r="Y43" s="3"/>
      <c r="Z43" s="4"/>
    </row>
    <row r="44" spans="2:26" ht="13.5" thickBot="1"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82"/>
      <c r="S44" s="13">
        <f>S43+1</f>
        <v>2</v>
      </c>
      <c r="T44" s="27">
        <f aca="true" t="shared" si="1" ref="T44:T67">U43</f>
        <v>15108.26831062464</v>
      </c>
      <c r="U44" s="29">
        <f aca="true" t="shared" si="2" ref="U44:U107">IF(RetireAge-Age&gt;S44,FV(Calc_MoWeightAveROI,12,-Input_MoInvestAmt,-T44,0),FV(Calc_MoWeightAveROI,12,-Input_MoInvestAmt,-T44,0)-YearlyCost)</f>
        <v>20345.716844681618</v>
      </c>
      <c r="V44" s="28">
        <f>IF(RetireAge-Age&gt;S43,V43+(12*Input_MoInvestAmt),0)</f>
        <v>19600</v>
      </c>
      <c r="Y44" s="3"/>
      <c r="Z44" s="4"/>
    </row>
    <row r="45" spans="3:26" ht="12.75">
      <c r="C45" s="7"/>
      <c r="D45" s="7"/>
      <c r="E45" s="7"/>
      <c r="F45" s="7"/>
      <c r="G45" s="7"/>
      <c r="H45" s="7"/>
      <c r="I45" s="7"/>
      <c r="J45" s="7"/>
      <c r="K45" s="7"/>
      <c r="S45" s="13">
        <f aca="true" t="shared" si="3" ref="S45:S108">S44+1</f>
        <v>3</v>
      </c>
      <c r="T45" s="27">
        <f t="shared" si="1"/>
        <v>20345.716844681618</v>
      </c>
      <c r="U45" s="29">
        <f t="shared" si="2"/>
        <v>25715.612370694293</v>
      </c>
      <c r="V45" s="28">
        <f aca="true" t="shared" si="4" ref="V45:V108">IF(RetireAge-Age&gt;S44,V44+(12*Input_MoInvestAmt),0)</f>
        <v>24400</v>
      </c>
      <c r="Y45" s="3"/>
      <c r="Z45" s="4"/>
    </row>
    <row r="46" spans="6:26" ht="12.75">
      <c r="F46" s="7"/>
      <c r="G46" s="7"/>
      <c r="H46" s="7"/>
      <c r="I46" s="7"/>
      <c r="J46" s="7"/>
      <c r="K46" s="7"/>
      <c r="S46" s="13">
        <f t="shared" si="3"/>
        <v>4</v>
      </c>
      <c r="T46" s="27">
        <f t="shared" si="1"/>
        <v>25715.612370694293</v>
      </c>
      <c r="U46" s="29">
        <f t="shared" si="2"/>
        <v>31221.304268721302</v>
      </c>
      <c r="V46" s="28">
        <f t="shared" si="4"/>
        <v>29200</v>
      </c>
      <c r="Y46" s="3"/>
      <c r="Z46" s="4"/>
    </row>
    <row r="47" spans="6:26" ht="12.75">
      <c r="F47" s="7"/>
      <c r="G47" s="7"/>
      <c r="H47" s="7"/>
      <c r="I47" s="7"/>
      <c r="J47" s="7"/>
      <c r="K47" s="7"/>
      <c r="S47" s="13">
        <f t="shared" si="3"/>
        <v>5</v>
      </c>
      <c r="T47" s="27">
        <f t="shared" si="1"/>
        <v>31221.304268721302</v>
      </c>
      <c r="U47" s="29">
        <f t="shared" si="2"/>
        <v>36866.226619474815</v>
      </c>
      <c r="V47" s="28">
        <f t="shared" si="4"/>
        <v>34000</v>
      </c>
      <c r="Y47" s="3"/>
      <c r="Z47" s="4"/>
    </row>
    <row r="48" spans="6:26" ht="27" customHeight="1">
      <c r="F48" s="7"/>
      <c r="G48" s="7"/>
      <c r="H48" s="7"/>
      <c r="I48" s="7"/>
      <c r="J48" s="7"/>
      <c r="K48" s="7"/>
      <c r="S48" s="13">
        <f t="shared" si="3"/>
        <v>6</v>
      </c>
      <c r="T48" s="27">
        <f t="shared" si="1"/>
        <v>36866.226619474815</v>
      </c>
      <c r="U48" s="29">
        <f t="shared" si="2"/>
        <v>42653.90034626937</v>
      </c>
      <c r="V48" s="28">
        <f t="shared" si="4"/>
        <v>38800</v>
      </c>
      <c r="Y48" s="3"/>
      <c r="Z48" s="4"/>
    </row>
    <row r="49" spans="6:26" ht="12.75">
      <c r="F49" s="7"/>
      <c r="G49" s="7"/>
      <c r="H49" s="7"/>
      <c r="I49" s="7"/>
      <c r="J49" s="7"/>
      <c r="K49" s="7"/>
      <c r="S49" s="13">
        <f t="shared" si="3"/>
        <v>7</v>
      </c>
      <c r="T49" s="27">
        <f t="shared" si="1"/>
        <v>42653.90034626937</v>
      </c>
      <c r="U49" s="29">
        <f t="shared" si="2"/>
        <v>48587.935411137296</v>
      </c>
      <c r="V49" s="28">
        <f t="shared" si="4"/>
        <v>43600</v>
      </c>
      <c r="Y49" s="3"/>
      <c r="Z49" s="4"/>
    </row>
    <row r="50" spans="6:25" ht="12.75">
      <c r="F50" s="7"/>
      <c r="G50" s="7"/>
      <c r="H50" s="7"/>
      <c r="I50" s="7"/>
      <c r="J50" s="7"/>
      <c r="K50" s="7"/>
      <c r="S50" s="13">
        <f t="shared" si="3"/>
        <v>8</v>
      </c>
      <c r="T50" s="27">
        <f t="shared" si="1"/>
        <v>48587.935411137296</v>
      </c>
      <c r="U50" s="29">
        <f t="shared" si="2"/>
        <v>54672.033066480464</v>
      </c>
      <c r="V50" s="28">
        <f t="shared" si="4"/>
        <v>48400</v>
      </c>
      <c r="Y50" s="3"/>
    </row>
    <row r="51" spans="3:22" ht="12.75">
      <c r="C51" s="7"/>
      <c r="D51" s="7"/>
      <c r="E51" s="7"/>
      <c r="F51" s="7"/>
      <c r="G51" s="7"/>
      <c r="H51" s="7"/>
      <c r="I51" s="7"/>
      <c r="J51" s="7"/>
      <c r="K51" s="7"/>
      <c r="S51" s="13">
        <f t="shared" si="3"/>
        <v>9</v>
      </c>
      <c r="T51" s="27">
        <f t="shared" si="1"/>
        <v>54672.033066480464</v>
      </c>
      <c r="U51" s="29">
        <f t="shared" si="2"/>
        <v>60909.98816366292</v>
      </c>
      <c r="V51" s="28">
        <f t="shared" si="4"/>
        <v>53200</v>
      </c>
    </row>
    <row r="52" spans="3:23" ht="12.75">
      <c r="C52" s="7"/>
      <c r="D52" s="7"/>
      <c r="E52" s="7"/>
      <c r="F52" s="7"/>
      <c r="K52" s="7"/>
      <c r="S52" s="13">
        <f t="shared" si="3"/>
        <v>10</v>
      </c>
      <c r="T52" s="27">
        <f t="shared" si="1"/>
        <v>60909.98816366292</v>
      </c>
      <c r="U52" s="29">
        <f t="shared" si="2"/>
        <v>67305.69151998416</v>
      </c>
      <c r="V52" s="28">
        <f t="shared" si="4"/>
        <v>58000</v>
      </c>
      <c r="W52" s="2"/>
    </row>
    <row r="53" spans="10:26" ht="12.75">
      <c r="J53" s="35"/>
      <c r="K53" s="7"/>
      <c r="S53" s="13">
        <f t="shared" si="3"/>
        <v>11</v>
      </c>
      <c r="T53" s="27">
        <f t="shared" si="1"/>
        <v>67305.69151998416</v>
      </c>
      <c r="U53" s="29">
        <f t="shared" si="2"/>
        <v>73863.13234550961</v>
      </c>
      <c r="V53" s="28">
        <f t="shared" si="4"/>
        <v>62800</v>
      </c>
      <c r="W53" s="2"/>
      <c r="Y53" s="3"/>
      <c r="Z53" s="5"/>
    </row>
    <row r="54" spans="3:25" ht="15.75">
      <c r="C54" s="38" t="s">
        <v>64</v>
      </c>
      <c r="D54" s="34"/>
      <c r="E54" s="35"/>
      <c r="F54" s="35"/>
      <c r="G54" s="35"/>
      <c r="H54" s="35"/>
      <c r="I54" s="35"/>
      <c r="K54" s="7"/>
      <c r="S54" s="13">
        <f t="shared" si="3"/>
        <v>12</v>
      </c>
      <c r="T54" s="27">
        <f t="shared" si="1"/>
        <v>73863.13234550961</v>
      </c>
      <c r="U54" s="29">
        <f t="shared" si="2"/>
        <v>80586.40073127185</v>
      </c>
      <c r="V54" s="28">
        <f t="shared" si="4"/>
        <v>67600</v>
      </c>
      <c r="W54" s="2"/>
      <c r="Y54" s="6"/>
    </row>
    <row r="55" spans="4:25" ht="26.25" thickBot="1">
      <c r="D55" s="39" t="s">
        <v>36</v>
      </c>
      <c r="E55" s="40" t="s">
        <v>65</v>
      </c>
      <c r="F55" s="40"/>
      <c r="G55" s="40" t="s">
        <v>66</v>
      </c>
      <c r="H55" s="40"/>
      <c r="I55" s="41" t="s">
        <v>47</v>
      </c>
      <c r="K55" s="7"/>
      <c r="M55" t="s">
        <v>119</v>
      </c>
      <c r="S55" s="13">
        <f t="shared" si="3"/>
        <v>13</v>
      </c>
      <c r="T55" s="27">
        <f t="shared" si="1"/>
        <v>80586.40073127185</v>
      </c>
      <c r="U55" s="29">
        <f t="shared" si="2"/>
        <v>87479.69020039454</v>
      </c>
      <c r="V55" s="28">
        <f t="shared" si="4"/>
        <v>72400</v>
      </c>
      <c r="W55" s="2"/>
      <c r="Y55" s="7"/>
    </row>
    <row r="56" spans="4:25" ht="12.75">
      <c r="D56" s="43">
        <f>E19</f>
        <v>2006</v>
      </c>
      <c r="E56" s="48">
        <f aca="true" t="shared" si="5" ref="E56:E70">T43</f>
        <v>10000</v>
      </c>
      <c r="F56" s="36"/>
      <c r="G56" s="37">
        <f>IF(LifeExpect&gt;S43,U43,"")</f>
        <v>15108.26831062464</v>
      </c>
      <c r="H56" s="36"/>
      <c r="I56" s="42">
        <f>IF(Input_NumInvestYears&gt;0,V43,"")</f>
        <v>14800</v>
      </c>
      <c r="K56" s="78">
        <f aca="true" t="shared" si="6" ref="K56:K120">IF(LifeExpect-Age&gt;=S43-1,G56/1000,"")</f>
        <v>15.10826831062464</v>
      </c>
      <c r="L56" s="83"/>
      <c r="M56">
        <f>Age</f>
        <v>30</v>
      </c>
      <c r="S56" s="13">
        <f t="shared" si="3"/>
        <v>14</v>
      </c>
      <c r="T56" s="27">
        <f t="shared" si="1"/>
        <v>87479.69020039454</v>
      </c>
      <c r="U56" s="29">
        <f t="shared" si="2"/>
        <v>94547.30032373051</v>
      </c>
      <c r="V56" s="28">
        <f t="shared" si="4"/>
        <v>77200</v>
      </c>
      <c r="W56" s="2"/>
      <c r="Y56" s="7"/>
    </row>
    <row r="57" spans="4:25" ht="12.75">
      <c r="D57" s="43">
        <f>D56+1</f>
        <v>2007</v>
      </c>
      <c r="E57" s="48">
        <f t="shared" si="5"/>
        <v>15108.26831062464</v>
      </c>
      <c r="F57" s="36"/>
      <c r="G57" s="37">
        <f aca="true" t="shared" si="7" ref="G57:G120">IF(LifeExpect&gt;S44,U44,"")</f>
        <v>20345.716844681618</v>
      </c>
      <c r="H57" s="36"/>
      <c r="I57" s="42">
        <f>IF(Input_NumInvestYears&gt;1,V44,"")</f>
        <v>19600</v>
      </c>
      <c r="K57" s="78">
        <f t="shared" si="6"/>
        <v>20.34571684468162</v>
      </c>
      <c r="L57" s="83"/>
      <c r="M57">
        <f>M56+1</f>
        <v>31</v>
      </c>
      <c r="S57" s="13">
        <f t="shared" si="3"/>
        <v>15</v>
      </c>
      <c r="T57" s="27">
        <f t="shared" si="1"/>
        <v>94547.30032373051</v>
      </c>
      <c r="U57" s="29">
        <f t="shared" si="2"/>
        <v>101793.63940164512</v>
      </c>
      <c r="V57" s="28">
        <f t="shared" si="4"/>
        <v>82000</v>
      </c>
      <c r="W57" s="2"/>
      <c r="Y57" s="8"/>
    </row>
    <row r="58" spans="4:25" ht="12.75">
      <c r="D58" s="43">
        <f aca="true" t="shared" si="8" ref="D58:D121">D57+1</f>
        <v>2008</v>
      </c>
      <c r="E58" s="48">
        <f t="shared" si="5"/>
        <v>20345.716844681618</v>
      </c>
      <c r="F58" s="36"/>
      <c r="G58" s="37">
        <f t="shared" si="7"/>
        <v>25715.612370694293</v>
      </c>
      <c r="H58" s="36"/>
      <c r="I58" s="42">
        <f>IF(Input_NumInvestYears&gt;2,V45,"")</f>
        <v>24400</v>
      </c>
      <c r="K58" s="78">
        <f t="shared" si="6"/>
        <v>25.71561237069429</v>
      </c>
      <c r="L58" s="83"/>
      <c r="M58">
        <f aca="true" t="shared" si="9" ref="M58:M121">M57+1</f>
        <v>32</v>
      </c>
      <c r="S58" s="13">
        <f t="shared" si="3"/>
        <v>16</v>
      </c>
      <c r="T58" s="27">
        <f t="shared" si="1"/>
        <v>101793.63940164512</v>
      </c>
      <c r="U58" s="29">
        <f t="shared" si="2"/>
        <v>109223.22721361792</v>
      </c>
      <c r="V58" s="28">
        <f t="shared" si="4"/>
        <v>86800</v>
      </c>
      <c r="W58" s="2"/>
      <c r="Y58" s="8"/>
    </row>
    <row r="59" spans="4:25" ht="12.75">
      <c r="D59" s="43">
        <f t="shared" si="8"/>
        <v>2009</v>
      </c>
      <c r="E59" s="48">
        <f t="shared" si="5"/>
        <v>25715.612370694293</v>
      </c>
      <c r="F59" s="36"/>
      <c r="G59" s="37">
        <f t="shared" si="7"/>
        <v>31221.304268721302</v>
      </c>
      <c r="H59" s="36"/>
      <c r="I59" s="42">
        <f>IF(Input_NumInvestYears&gt;3,V46,"")</f>
        <v>29200</v>
      </c>
      <c r="K59" s="78">
        <f t="shared" si="6"/>
        <v>31.2213042687213</v>
      </c>
      <c r="M59">
        <f t="shared" si="9"/>
        <v>33</v>
      </c>
      <c r="S59" s="13">
        <f t="shared" si="3"/>
        <v>17</v>
      </c>
      <c r="T59" s="27">
        <f t="shared" si="1"/>
        <v>109223.22721361792</v>
      </c>
      <c r="U59" s="29">
        <f t="shared" si="2"/>
        <v>116840.69783737737</v>
      </c>
      <c r="V59" s="28">
        <f t="shared" si="4"/>
        <v>91600</v>
      </c>
      <c r="W59" s="2"/>
      <c r="Y59" s="8"/>
    </row>
    <row r="60" spans="4:25" ht="12.75">
      <c r="D60" s="43">
        <f t="shared" si="8"/>
        <v>2010</v>
      </c>
      <c r="E60" s="48">
        <f t="shared" si="5"/>
        <v>31221.304268721302</v>
      </c>
      <c r="F60" s="36"/>
      <c r="G60" s="37">
        <f t="shared" si="7"/>
        <v>36866.226619474815</v>
      </c>
      <c r="H60" s="36"/>
      <c r="I60" s="42">
        <f>IF(Input_NumInvestYears&gt;4,V47,"")</f>
        <v>34000</v>
      </c>
      <c r="K60" s="78">
        <f t="shared" si="6"/>
        <v>36.866226619474816</v>
      </c>
      <c r="M60">
        <f t="shared" si="9"/>
        <v>34</v>
      </c>
      <c r="S60" s="13">
        <f t="shared" si="3"/>
        <v>18</v>
      </c>
      <c r="T60" s="27">
        <f t="shared" si="1"/>
        <v>116840.69783737737</v>
      </c>
      <c r="U60" s="29">
        <f t="shared" si="2"/>
        <v>124650.80253932724</v>
      </c>
      <c r="V60" s="28">
        <f t="shared" si="4"/>
        <v>96400</v>
      </c>
      <c r="W60" s="2"/>
      <c r="Y60" s="8"/>
    </row>
    <row r="61" spans="4:25" ht="12.75">
      <c r="D61" s="43">
        <f t="shared" si="8"/>
        <v>2011</v>
      </c>
      <c r="E61" s="48">
        <f t="shared" si="5"/>
        <v>36866.226619474815</v>
      </c>
      <c r="F61" s="36"/>
      <c r="G61" s="37">
        <f t="shared" si="7"/>
        <v>42653.90034626937</v>
      </c>
      <c r="H61" s="36"/>
      <c r="I61" s="42">
        <f>IF(Input_NumInvestYears&gt;5,V48,"")</f>
        <v>38800</v>
      </c>
      <c r="K61" s="78">
        <f t="shared" si="6"/>
        <v>42.653900346269374</v>
      </c>
      <c r="M61">
        <f t="shared" si="9"/>
        <v>35</v>
      </c>
      <c r="S61" s="13">
        <f t="shared" si="3"/>
        <v>19</v>
      </c>
      <c r="T61" s="27">
        <f t="shared" si="1"/>
        <v>124650.80253932724</v>
      </c>
      <c r="U61" s="29">
        <f t="shared" si="2"/>
        <v>132658.41273806736</v>
      </c>
      <c r="V61" s="28">
        <f t="shared" si="4"/>
        <v>101200</v>
      </c>
      <c r="W61" s="2"/>
      <c r="Y61" s="8"/>
    </row>
    <row r="62" spans="4:25" ht="12.75">
      <c r="D62" s="43">
        <f t="shared" si="8"/>
        <v>2012</v>
      </c>
      <c r="E62" s="48">
        <f t="shared" si="5"/>
        <v>42653.90034626937</v>
      </c>
      <c r="F62" s="36"/>
      <c r="G62" s="37">
        <f t="shared" si="7"/>
        <v>48587.935411137296</v>
      </c>
      <c r="H62" s="36"/>
      <c r="I62" s="42">
        <f>IF(Input_NumInvestYears&gt;6,V49,"")</f>
        <v>43600</v>
      </c>
      <c r="K62" s="78">
        <f t="shared" si="6"/>
        <v>48.587935411137295</v>
      </c>
      <c r="M62">
        <f t="shared" si="9"/>
        <v>36</v>
      </c>
      <c r="S62" s="13">
        <f t="shared" si="3"/>
        <v>20</v>
      </c>
      <c r="T62" s="27">
        <f t="shared" si="1"/>
        <v>132658.41273806736</v>
      </c>
      <c r="U62" s="29">
        <f t="shared" si="2"/>
        <v>140868.52304285727</v>
      </c>
      <c r="V62" s="28">
        <f t="shared" si="4"/>
        <v>106000</v>
      </c>
      <c r="W62" s="2"/>
      <c r="Y62" s="8"/>
    </row>
    <row r="63" spans="4:25" ht="12.75">
      <c r="D63" s="43">
        <f t="shared" si="8"/>
        <v>2013</v>
      </c>
      <c r="E63" s="48">
        <f t="shared" si="5"/>
        <v>48587.935411137296</v>
      </c>
      <c r="F63" s="36"/>
      <c r="G63" s="37">
        <f t="shared" si="7"/>
        <v>54672.033066480464</v>
      </c>
      <c r="H63" s="36"/>
      <c r="I63" s="42">
        <f>IF(Input_NumInvestYears&gt;7,V50,"")</f>
        <v>48400</v>
      </c>
      <c r="K63" s="78">
        <f t="shared" si="6"/>
        <v>54.672033066480466</v>
      </c>
      <c r="M63">
        <f t="shared" si="9"/>
        <v>37</v>
      </c>
      <c r="S63" s="13">
        <f t="shared" si="3"/>
        <v>21</v>
      </c>
      <c r="T63" s="27">
        <f t="shared" si="1"/>
        <v>140868.52304285727</v>
      </c>
      <c r="U63" s="29">
        <f t="shared" si="2"/>
        <v>149286.25436891793</v>
      </c>
      <c r="V63" s="28">
        <f t="shared" si="4"/>
        <v>110800</v>
      </c>
      <c r="W63" s="2"/>
      <c r="Y63" s="8"/>
    </row>
    <row r="64" spans="4:25" ht="12.75">
      <c r="D64" s="43">
        <f t="shared" si="8"/>
        <v>2014</v>
      </c>
      <c r="E64" s="48">
        <f t="shared" si="5"/>
        <v>54672.033066480464</v>
      </c>
      <c r="F64" s="36"/>
      <c r="G64" s="37">
        <f t="shared" si="7"/>
        <v>60909.98816366292</v>
      </c>
      <c r="H64" s="36"/>
      <c r="I64" s="42">
        <f>IF(Input_NumInvestYears&gt;8,V51,"")</f>
        <v>53200</v>
      </c>
      <c r="K64" s="78">
        <f t="shared" si="6"/>
        <v>60.90998816366292</v>
      </c>
      <c r="M64">
        <f t="shared" si="9"/>
        <v>38</v>
      </c>
      <c r="S64" s="13">
        <f t="shared" si="3"/>
        <v>22</v>
      </c>
      <c r="T64" s="27">
        <f t="shared" si="1"/>
        <v>149286.25436891793</v>
      </c>
      <c r="U64" s="29">
        <f t="shared" si="2"/>
        <v>157916.85713151458</v>
      </c>
      <c r="V64" s="28">
        <f t="shared" si="4"/>
        <v>115600</v>
      </c>
      <c r="W64" s="2"/>
      <c r="Y64" s="8"/>
    </row>
    <row r="65" spans="4:25" ht="12.75">
      <c r="D65" s="43">
        <f t="shared" si="8"/>
        <v>2015</v>
      </c>
      <c r="E65" s="48">
        <f t="shared" si="5"/>
        <v>60909.98816366292</v>
      </c>
      <c r="F65" s="36"/>
      <c r="G65" s="37">
        <f t="shared" si="7"/>
        <v>67305.69151998416</v>
      </c>
      <c r="H65" s="36"/>
      <c r="I65" s="42">
        <f>IF(Input_NumInvestYears&gt;9,V52,"")</f>
        <v>58000</v>
      </c>
      <c r="K65" s="78">
        <f t="shared" si="6"/>
        <v>67.30569151998417</v>
      </c>
      <c r="M65">
        <f t="shared" si="9"/>
        <v>39</v>
      </c>
      <c r="S65" s="13">
        <f t="shared" si="3"/>
        <v>23</v>
      </c>
      <c r="T65" s="27">
        <f t="shared" si="1"/>
        <v>157916.85713151458</v>
      </c>
      <c r="U65" s="29">
        <f t="shared" si="2"/>
        <v>166765.71452081302</v>
      </c>
      <c r="V65" s="28">
        <f t="shared" si="4"/>
        <v>120400</v>
      </c>
      <c r="W65" s="2"/>
      <c r="Y65" s="8"/>
    </row>
    <row r="66" spans="4:25" ht="12.75">
      <c r="D66" s="43">
        <f t="shared" si="8"/>
        <v>2016</v>
      </c>
      <c r="E66" s="48">
        <f t="shared" si="5"/>
        <v>67305.69151998416</v>
      </c>
      <c r="F66" s="36"/>
      <c r="G66" s="37">
        <f t="shared" si="7"/>
        <v>73863.13234550961</v>
      </c>
      <c r="H66" s="36"/>
      <c r="I66" s="42">
        <f>IF(Input_NumInvestYears&gt;10,V53,"")</f>
        <v>62800</v>
      </c>
      <c r="K66" s="78">
        <f t="shared" si="6"/>
        <v>73.86313234550961</v>
      </c>
      <c r="M66">
        <f t="shared" si="9"/>
        <v>40</v>
      </c>
      <c r="S66" s="13">
        <f t="shared" si="3"/>
        <v>24</v>
      </c>
      <c r="T66" s="27">
        <f t="shared" si="1"/>
        <v>166765.71452081302</v>
      </c>
      <c r="U66" s="29">
        <f t="shared" si="2"/>
        <v>175838.345859552</v>
      </c>
      <c r="V66" s="28">
        <f t="shared" si="4"/>
        <v>125200</v>
      </c>
      <c r="W66" s="2"/>
      <c r="Y66" s="8"/>
    </row>
    <row r="67" spans="4:25" ht="12.75">
      <c r="D67" s="43">
        <f t="shared" si="8"/>
        <v>2017</v>
      </c>
      <c r="E67" s="48">
        <f t="shared" si="5"/>
        <v>73863.13234550961</v>
      </c>
      <c r="F67" s="36"/>
      <c r="G67" s="37">
        <f t="shared" si="7"/>
        <v>80586.40073127185</v>
      </c>
      <c r="H67" s="36"/>
      <c r="I67" s="42">
        <f>IF(Input_NumInvestYears&gt;11,V54,"")</f>
        <v>67600</v>
      </c>
      <c r="K67" s="78">
        <f t="shared" si="6"/>
        <v>80.58640073127185</v>
      </c>
      <c r="M67">
        <f t="shared" si="9"/>
        <v>41</v>
      </c>
      <c r="S67" s="13">
        <f t="shared" si="3"/>
        <v>25</v>
      </c>
      <c r="T67" s="27">
        <f t="shared" si="1"/>
        <v>175838.345859552</v>
      </c>
      <c r="U67" s="29">
        <f t="shared" si="2"/>
        <v>185140.41004562593</v>
      </c>
      <c r="V67" s="28">
        <f t="shared" si="4"/>
        <v>130000</v>
      </c>
      <c r="W67" s="2"/>
      <c r="Y67" s="8"/>
    </row>
    <row r="68" spans="4:25" ht="12.75">
      <c r="D68" s="43">
        <f t="shared" si="8"/>
        <v>2018</v>
      </c>
      <c r="E68" s="48">
        <f t="shared" si="5"/>
        <v>80586.40073127185</v>
      </c>
      <c r="F68" s="36"/>
      <c r="G68" s="37">
        <f t="shared" si="7"/>
        <v>87479.69020039454</v>
      </c>
      <c r="H68" s="36"/>
      <c r="I68" s="42">
        <f>IF(Input_NumInvestYears&gt;12,V55,"")</f>
        <v>72400</v>
      </c>
      <c r="K68" s="78">
        <f t="shared" si="6"/>
        <v>87.47969020039454</v>
      </c>
      <c r="M68">
        <f t="shared" si="9"/>
        <v>42</v>
      </c>
      <c r="S68" s="13">
        <f t="shared" si="3"/>
        <v>26</v>
      </c>
      <c r="T68" s="27">
        <f>U67</f>
        <v>185140.41004562593</v>
      </c>
      <c r="U68" s="29">
        <f t="shared" si="2"/>
        <v>194677.7090817252</v>
      </c>
      <c r="V68" s="28">
        <f t="shared" si="4"/>
        <v>134800</v>
      </c>
      <c r="W68" s="2"/>
      <c r="Y68" s="8"/>
    </row>
    <row r="69" spans="4:25" ht="12.75">
      <c r="D69" s="43">
        <f t="shared" si="8"/>
        <v>2019</v>
      </c>
      <c r="E69" s="48">
        <f t="shared" si="5"/>
        <v>87479.69020039454</v>
      </c>
      <c r="F69" s="36"/>
      <c r="G69" s="37">
        <f t="shared" si="7"/>
        <v>94547.30032373051</v>
      </c>
      <c r="H69" s="36"/>
      <c r="I69" s="42">
        <f>IF(Input_NumInvestYears&gt;13,V56,"")</f>
        <v>77200</v>
      </c>
      <c r="K69" s="78">
        <f t="shared" si="6"/>
        <v>94.54730032373051</v>
      </c>
      <c r="M69">
        <f t="shared" si="9"/>
        <v>43</v>
      </c>
      <c r="S69" s="13">
        <f t="shared" si="3"/>
        <v>27</v>
      </c>
      <c r="T69" s="27">
        <f aca="true" t="shared" si="10" ref="T69:T132">U68</f>
        <v>194677.7090817252</v>
      </c>
      <c r="U69" s="29">
        <f t="shared" si="2"/>
        <v>204456.19169423563</v>
      </c>
      <c r="V69" s="28">
        <f t="shared" si="4"/>
        <v>139600</v>
      </c>
      <c r="W69" s="2"/>
      <c r="Y69" s="8"/>
    </row>
    <row r="70" spans="4:25" ht="12.75">
      <c r="D70" s="43">
        <f t="shared" si="8"/>
        <v>2020</v>
      </c>
      <c r="E70" s="48">
        <f t="shared" si="5"/>
        <v>94547.30032373051</v>
      </c>
      <c r="F70" s="36"/>
      <c r="G70" s="37">
        <f t="shared" si="7"/>
        <v>101793.63940164512</v>
      </c>
      <c r="H70" s="36"/>
      <c r="I70" s="42">
        <f>IF(Input_NumInvestYears&gt;14,V57,"")</f>
        <v>82000</v>
      </c>
      <c r="K70" s="78">
        <f t="shared" si="6"/>
        <v>101.79363940164512</v>
      </c>
      <c r="M70">
        <f t="shared" si="9"/>
        <v>44</v>
      </c>
      <c r="S70" s="13">
        <f t="shared" si="3"/>
        <v>28</v>
      </c>
      <c r="T70" s="27">
        <f t="shared" si="10"/>
        <v>204456.19169423563</v>
      </c>
      <c r="U70" s="29">
        <f t="shared" si="2"/>
        <v>214481.9570436544</v>
      </c>
      <c r="V70" s="28">
        <f t="shared" si="4"/>
        <v>144400</v>
      </c>
      <c r="W70" s="2"/>
      <c r="Y70" s="8"/>
    </row>
    <row r="71" spans="4:25" ht="12.75">
      <c r="D71" s="43">
        <f t="shared" si="8"/>
        <v>2021</v>
      </c>
      <c r="E71" s="48">
        <f aca="true" t="shared" si="11" ref="E71:E86">T58</f>
        <v>101793.63940164512</v>
      </c>
      <c r="F71" s="36"/>
      <c r="G71" s="37">
        <f t="shared" si="7"/>
        <v>109223.22721361792</v>
      </c>
      <c r="H71" s="36"/>
      <c r="I71" s="42">
        <f>IF(Input_NumInvestYears&gt;15,V58,"")</f>
        <v>86800</v>
      </c>
      <c r="K71" s="78">
        <f t="shared" si="6"/>
        <v>109.22322721361792</v>
      </c>
      <c r="M71">
        <f t="shared" si="9"/>
        <v>45</v>
      </c>
      <c r="S71" s="13">
        <f t="shared" si="3"/>
        <v>29</v>
      </c>
      <c r="T71" s="27">
        <f t="shared" si="10"/>
        <v>214481.9570436544</v>
      </c>
      <c r="U71" s="29">
        <f t="shared" si="2"/>
        <v>224761.2585288365</v>
      </c>
      <c r="V71" s="28">
        <f t="shared" si="4"/>
        <v>149200</v>
      </c>
      <c r="W71" s="2"/>
      <c r="Y71" s="8"/>
    </row>
    <row r="72" spans="4:25" ht="12.75">
      <c r="D72" s="43">
        <f t="shared" si="8"/>
        <v>2022</v>
      </c>
      <c r="E72" s="48">
        <f t="shared" si="11"/>
        <v>109223.22721361792</v>
      </c>
      <c r="F72" s="36"/>
      <c r="G72" s="37">
        <f t="shared" si="7"/>
        <v>116840.69783737737</v>
      </c>
      <c r="H72" s="36"/>
      <c r="I72" s="42">
        <f>IF(Input_NumInvestYears&gt;16,V59,"")</f>
        <v>91600</v>
      </c>
      <c r="K72" s="78">
        <f t="shared" si="6"/>
        <v>116.84069783737738</v>
      </c>
      <c r="M72">
        <f t="shared" si="9"/>
        <v>46</v>
      </c>
      <c r="S72" s="13">
        <f t="shared" si="3"/>
        <v>30</v>
      </c>
      <c r="T72" s="27">
        <f t="shared" si="10"/>
        <v>224761.2585288365</v>
      </c>
      <c r="U72" s="29">
        <f t="shared" si="2"/>
        <v>235300.50768744492</v>
      </c>
      <c r="V72" s="28">
        <f t="shared" si="4"/>
        <v>154000</v>
      </c>
      <c r="W72" s="2"/>
      <c r="Y72" s="8"/>
    </row>
    <row r="73" spans="4:25" ht="12.75">
      <c r="D73" s="43">
        <f t="shared" si="8"/>
        <v>2023</v>
      </c>
      <c r="E73" s="48">
        <f t="shared" si="11"/>
        <v>116840.69783737737</v>
      </c>
      <c r="F73" s="36"/>
      <c r="G73" s="37">
        <f t="shared" si="7"/>
        <v>124650.80253932724</v>
      </c>
      <c r="H73" s="36"/>
      <c r="I73" s="42">
        <f>IF(Input_NumInvestYears&gt;17,V60,"")</f>
        <v>96400</v>
      </c>
      <c r="K73" s="78">
        <f t="shared" si="6"/>
        <v>124.65080253932724</v>
      </c>
      <c r="M73">
        <f t="shared" si="9"/>
        <v>47</v>
      </c>
      <c r="S73" s="13">
        <f t="shared" si="3"/>
        <v>31</v>
      </c>
      <c r="T73" s="27">
        <f t="shared" si="10"/>
        <v>235300.50768744492</v>
      </c>
      <c r="U73" s="29">
        <f t="shared" si="2"/>
        <v>246106.27819503695</v>
      </c>
      <c r="V73" s="28">
        <f t="shared" si="4"/>
        <v>158800</v>
      </c>
      <c r="W73" s="2"/>
      <c r="Y73" s="8"/>
    </row>
    <row r="74" spans="4:25" ht="12.75">
      <c r="D74" s="43">
        <f t="shared" si="8"/>
        <v>2024</v>
      </c>
      <c r="E74" s="48">
        <f t="shared" si="11"/>
        <v>124650.80253932724</v>
      </c>
      <c r="F74" s="36"/>
      <c r="G74" s="37">
        <f t="shared" si="7"/>
        <v>132658.41273806736</v>
      </c>
      <c r="H74" s="36"/>
      <c r="I74" s="42">
        <f>IF(Input_NumInvestYears&gt;18,V61,"")</f>
        <v>101200</v>
      </c>
      <c r="K74" s="78">
        <f t="shared" si="6"/>
        <v>132.65841273806737</v>
      </c>
      <c r="M74">
        <f t="shared" si="9"/>
        <v>48</v>
      </c>
      <c r="S74" s="13">
        <f t="shared" si="3"/>
        <v>32</v>
      </c>
      <c r="T74" s="27">
        <f t="shared" si="10"/>
        <v>246106.27819503695</v>
      </c>
      <c r="U74" s="29">
        <f t="shared" si="2"/>
        <v>257185.30996528154</v>
      </c>
      <c r="V74" s="28">
        <f t="shared" si="4"/>
        <v>163600</v>
      </c>
      <c r="W74" s="2"/>
      <c r="Y74" s="8"/>
    </row>
    <row r="75" spans="4:25" ht="12.75">
      <c r="D75" s="43">
        <f t="shared" si="8"/>
        <v>2025</v>
      </c>
      <c r="E75" s="48">
        <f t="shared" si="11"/>
        <v>132658.41273806736</v>
      </c>
      <c r="F75" s="36"/>
      <c r="G75" s="37">
        <f t="shared" si="7"/>
        <v>140868.52304285727</v>
      </c>
      <c r="H75" s="36"/>
      <c r="I75" s="42">
        <f>IF(Input_NumInvestYears&gt;19,V62,"")</f>
        <v>106000</v>
      </c>
      <c r="K75" s="78">
        <f t="shared" si="6"/>
        <v>140.86852304285728</v>
      </c>
      <c r="M75">
        <f t="shared" si="9"/>
        <v>49</v>
      </c>
      <c r="S75" s="13">
        <f t="shared" si="3"/>
        <v>33</v>
      </c>
      <c r="T75" s="27">
        <f t="shared" si="10"/>
        <v>257185.30996528154</v>
      </c>
      <c r="U75" s="29">
        <f t="shared" si="2"/>
        <v>268544.5133538645</v>
      </c>
      <c r="V75" s="28">
        <f t="shared" si="4"/>
        <v>168400</v>
      </c>
      <c r="W75" s="2"/>
      <c r="Y75" s="8"/>
    </row>
    <row r="76" spans="4:25" ht="12.75">
      <c r="D76" s="43">
        <f t="shared" si="8"/>
        <v>2026</v>
      </c>
      <c r="E76" s="48">
        <f t="shared" si="11"/>
        <v>140868.52304285727</v>
      </c>
      <c r="F76" s="36"/>
      <c r="G76" s="37">
        <f t="shared" si="7"/>
        <v>149286.25436891793</v>
      </c>
      <c r="H76" s="36"/>
      <c r="I76" s="42">
        <f>IF(Input_NumInvestYears&gt;20,V63,"")</f>
        <v>110800</v>
      </c>
      <c r="K76" s="78">
        <f t="shared" si="6"/>
        <v>149.28625436891792</v>
      </c>
      <c r="M76">
        <f t="shared" si="9"/>
        <v>50</v>
      </c>
      <c r="S76" s="13">
        <f t="shared" si="3"/>
        <v>34</v>
      </c>
      <c r="T76" s="27">
        <f t="shared" si="10"/>
        <v>268544.5133538645</v>
      </c>
      <c r="U76" s="29">
        <f t="shared" si="2"/>
        <v>280190.9734687041</v>
      </c>
      <c r="V76" s="28">
        <f t="shared" si="4"/>
        <v>173200</v>
      </c>
      <c r="W76" s="2"/>
      <c r="Y76" s="8"/>
    </row>
    <row r="77" spans="4:25" ht="12.75">
      <c r="D77" s="43">
        <f t="shared" si="8"/>
        <v>2027</v>
      </c>
      <c r="E77" s="48">
        <f t="shared" si="11"/>
        <v>149286.25436891793</v>
      </c>
      <c r="F77" s="36"/>
      <c r="G77" s="37">
        <f t="shared" si="7"/>
        <v>157916.85713151458</v>
      </c>
      <c r="H77" s="36"/>
      <c r="I77" s="42">
        <f>IF(Input_NumInvestYears&gt;21,V64,"")</f>
        <v>115600</v>
      </c>
      <c r="K77" s="78">
        <f t="shared" si="6"/>
        <v>157.91685713151458</v>
      </c>
      <c r="M77">
        <f t="shared" si="9"/>
        <v>51</v>
      </c>
      <c r="S77" s="13">
        <f t="shared" si="3"/>
        <v>35</v>
      </c>
      <c r="T77" s="27">
        <f t="shared" si="10"/>
        <v>280190.9734687041</v>
      </c>
      <c r="U77" s="29">
        <f t="shared" si="2"/>
        <v>242131.9545891654</v>
      </c>
      <c r="V77" s="28">
        <f t="shared" si="4"/>
        <v>178000</v>
      </c>
      <c r="W77" s="2"/>
      <c r="Y77" s="8"/>
    </row>
    <row r="78" spans="4:25" ht="12.75">
      <c r="D78" s="43">
        <f t="shared" si="8"/>
        <v>2028</v>
      </c>
      <c r="E78" s="48">
        <f t="shared" si="11"/>
        <v>157916.85713151458</v>
      </c>
      <c r="F78" s="36"/>
      <c r="G78" s="37">
        <f t="shared" si="7"/>
        <v>166765.71452081302</v>
      </c>
      <c r="H78" s="36"/>
      <c r="I78" s="42">
        <f>IF(Input_NumInvestYears&gt;22,V65,"")</f>
        <v>120400</v>
      </c>
      <c r="K78" s="78">
        <f t="shared" si="6"/>
        <v>166.76571452081302</v>
      </c>
      <c r="M78">
        <f t="shared" si="9"/>
        <v>52</v>
      </c>
      <c r="S78" s="13">
        <f t="shared" si="3"/>
        <v>36</v>
      </c>
      <c r="T78" s="27">
        <f t="shared" si="10"/>
        <v>242131.9545891654</v>
      </c>
      <c r="U78" s="29">
        <f t="shared" si="2"/>
        <v>203110.48184786525</v>
      </c>
      <c r="V78" s="28">
        <f t="shared" si="4"/>
        <v>0</v>
      </c>
      <c r="W78" s="2"/>
      <c r="Y78" s="8"/>
    </row>
    <row r="79" spans="4:25" ht="12.75">
      <c r="D79" s="43">
        <f t="shared" si="8"/>
        <v>2029</v>
      </c>
      <c r="E79" s="48">
        <f t="shared" si="11"/>
        <v>166765.71452081302</v>
      </c>
      <c r="F79" s="36"/>
      <c r="G79" s="37">
        <f t="shared" si="7"/>
        <v>175838.345859552</v>
      </c>
      <c r="H79" s="36"/>
      <c r="I79" s="42">
        <f>IF(Input_NumInvestYears&gt;23,V66,"")</f>
        <v>125200</v>
      </c>
      <c r="K79" s="78">
        <f t="shared" si="6"/>
        <v>175.838345859552</v>
      </c>
      <c r="M79">
        <f t="shared" si="9"/>
        <v>53</v>
      </c>
      <c r="S79" s="13">
        <f t="shared" si="3"/>
        <v>37</v>
      </c>
      <c r="T79" s="27">
        <f t="shared" si="10"/>
        <v>203110.48184786525</v>
      </c>
      <c r="U79" s="29">
        <f t="shared" si="2"/>
        <v>163102.21627172208</v>
      </c>
      <c r="V79" s="28">
        <f t="shared" si="4"/>
        <v>0</v>
      </c>
      <c r="W79" s="2"/>
      <c r="Y79" s="8"/>
    </row>
    <row r="80" spans="4:25" ht="12.75">
      <c r="D80" s="43">
        <f t="shared" si="8"/>
        <v>2030</v>
      </c>
      <c r="E80" s="48">
        <f t="shared" si="11"/>
        <v>175838.345859552</v>
      </c>
      <c r="F80" s="36"/>
      <c r="G80" s="37">
        <f t="shared" si="7"/>
        <v>185140.41004562593</v>
      </c>
      <c r="H80" s="36"/>
      <c r="I80" s="42">
        <f>IF(Input_NumInvestYears&gt;24,V67,"")</f>
        <v>130000</v>
      </c>
      <c r="K80" s="78">
        <f t="shared" si="6"/>
        <v>185.14041004562594</v>
      </c>
      <c r="M80">
        <f t="shared" si="9"/>
        <v>54</v>
      </c>
      <c r="S80" s="13">
        <f t="shared" si="3"/>
        <v>38</v>
      </c>
      <c r="T80" s="27">
        <f t="shared" si="10"/>
        <v>163102.21627172208</v>
      </c>
      <c r="U80" s="29">
        <f t="shared" si="2"/>
        <v>122082.20339258056</v>
      </c>
      <c r="V80" s="28">
        <f t="shared" si="4"/>
        <v>0</v>
      </c>
      <c r="W80" s="2"/>
      <c r="Y80" s="8"/>
    </row>
    <row r="81" spans="4:25" ht="12.75">
      <c r="D81" s="43">
        <f t="shared" si="8"/>
        <v>2031</v>
      </c>
      <c r="E81" s="48">
        <f t="shared" si="11"/>
        <v>185140.41004562593</v>
      </c>
      <c r="F81" s="36"/>
      <c r="G81" s="37">
        <f t="shared" si="7"/>
        <v>194677.7090817252</v>
      </c>
      <c r="H81" s="36"/>
      <c r="I81" s="42">
        <f>IF(Input_NumInvestYears&gt;25,V68,"")</f>
        <v>134800</v>
      </c>
      <c r="K81" s="78">
        <f t="shared" si="6"/>
        <v>194.6777090817252</v>
      </c>
      <c r="M81">
        <f t="shared" si="9"/>
        <v>55</v>
      </c>
      <c r="S81" s="13">
        <f t="shared" si="3"/>
        <v>39</v>
      </c>
      <c r="T81" s="27">
        <f t="shared" si="10"/>
        <v>122082.20339258056</v>
      </c>
      <c r="U81" s="29">
        <f t="shared" si="2"/>
        <v>80024.85768229087</v>
      </c>
      <c r="V81" s="28">
        <f t="shared" si="4"/>
        <v>0</v>
      </c>
      <c r="W81" s="2"/>
      <c r="Y81" s="8"/>
    </row>
    <row r="82" spans="4:23" ht="12.75">
      <c r="D82" s="43">
        <f t="shared" si="8"/>
        <v>2032</v>
      </c>
      <c r="E82" s="48">
        <f t="shared" si="11"/>
        <v>194677.7090817252</v>
      </c>
      <c r="F82" s="36"/>
      <c r="G82" s="37">
        <f t="shared" si="7"/>
        <v>204456.19169423563</v>
      </c>
      <c r="H82" s="36"/>
      <c r="I82" s="42">
        <f>IF(Input_NumInvestYears&gt;26,V69,"")</f>
        <v>139600</v>
      </c>
      <c r="K82" s="78">
        <f t="shared" si="6"/>
        <v>204.45619169423563</v>
      </c>
      <c r="M82">
        <f t="shared" si="9"/>
        <v>56</v>
      </c>
      <c r="S82" s="13">
        <f t="shared" si="3"/>
        <v>40</v>
      </c>
      <c r="T82" s="27">
        <f t="shared" si="10"/>
        <v>80024.85768229087</v>
      </c>
      <c r="U82" s="29">
        <f t="shared" si="2"/>
        <v>36903.94659417514</v>
      </c>
      <c r="V82" s="28">
        <f t="shared" si="4"/>
        <v>0</v>
      </c>
      <c r="W82" s="2"/>
    </row>
    <row r="83" spans="4:23" ht="12.75">
      <c r="D83" s="43">
        <f t="shared" si="8"/>
        <v>2033</v>
      </c>
      <c r="E83" s="48">
        <f t="shared" si="11"/>
        <v>204456.19169423563</v>
      </c>
      <c r="F83" s="36"/>
      <c r="G83" s="37">
        <f t="shared" si="7"/>
        <v>214481.9570436544</v>
      </c>
      <c r="H83" s="36"/>
      <c r="I83" s="42">
        <f>IF(Input_NumInvestYears&gt;27,V70,"")</f>
        <v>144400</v>
      </c>
      <c r="K83" s="78">
        <f t="shared" si="6"/>
        <v>214.4819570436544</v>
      </c>
      <c r="M83">
        <f t="shared" si="9"/>
        <v>57</v>
      </c>
      <c r="S83" s="13">
        <f t="shared" si="3"/>
        <v>41</v>
      </c>
      <c r="T83" s="27">
        <f t="shared" si="10"/>
        <v>36903.94659417514</v>
      </c>
      <c r="U83" s="29">
        <f t="shared" si="2"/>
        <v>-7307.425799072684</v>
      </c>
      <c r="V83" s="28">
        <f t="shared" si="4"/>
        <v>0</v>
      </c>
      <c r="W83" s="2"/>
    </row>
    <row r="84" spans="4:23" ht="12.75">
      <c r="D84" s="43">
        <f t="shared" si="8"/>
        <v>2034</v>
      </c>
      <c r="E84" s="48">
        <f t="shared" si="11"/>
        <v>214481.9570436544</v>
      </c>
      <c r="F84" s="36"/>
      <c r="G84" s="37">
        <f t="shared" si="7"/>
        <v>224761.2585288365</v>
      </c>
      <c r="H84" s="36"/>
      <c r="I84" s="42">
        <f>IF(Input_NumInvestYears&gt;28,V71,"")</f>
        <v>149200</v>
      </c>
      <c r="K84" s="78">
        <f t="shared" si="6"/>
        <v>224.76125852883652</v>
      </c>
      <c r="M84">
        <f t="shared" si="9"/>
        <v>58</v>
      </c>
      <c r="S84" s="13">
        <f t="shared" si="3"/>
        <v>42</v>
      </c>
      <c r="T84" s="27">
        <f t="shared" si="10"/>
        <v>-7307.425799072684</v>
      </c>
      <c r="U84" s="29">
        <f t="shared" si="2"/>
        <v>-52636.83558125938</v>
      </c>
      <c r="V84" s="28">
        <f t="shared" si="4"/>
        <v>0</v>
      </c>
      <c r="W84" s="2"/>
    </row>
    <row r="85" spans="4:23" ht="12.75">
      <c r="D85" s="43">
        <f t="shared" si="8"/>
        <v>2035</v>
      </c>
      <c r="E85" s="48">
        <f t="shared" si="11"/>
        <v>224761.2585288365</v>
      </c>
      <c r="F85" s="36"/>
      <c r="G85" s="37">
        <f t="shared" si="7"/>
        <v>235300.50768744492</v>
      </c>
      <c r="H85" s="36"/>
      <c r="I85" s="42">
        <f>IF(Input_NumInvestYears&gt;29,V72,"")</f>
        <v>154000</v>
      </c>
      <c r="K85" s="78">
        <f t="shared" si="6"/>
        <v>235.3005076874449</v>
      </c>
      <c r="M85">
        <f t="shared" si="9"/>
        <v>59</v>
      </c>
      <c r="S85" s="13">
        <f t="shared" si="3"/>
        <v>43</v>
      </c>
      <c r="T85" s="27">
        <f t="shared" si="10"/>
        <v>-52636.83558125938</v>
      </c>
      <c r="U85" s="29">
        <f t="shared" si="2"/>
        <v>-99112.55619280084</v>
      </c>
      <c r="V85" s="28">
        <f t="shared" si="4"/>
        <v>0</v>
      </c>
      <c r="W85" s="2"/>
    </row>
    <row r="86" spans="4:23" ht="12.75">
      <c r="D86" s="43">
        <f t="shared" si="8"/>
        <v>2036</v>
      </c>
      <c r="E86" s="48">
        <f t="shared" si="11"/>
        <v>235300.50768744492</v>
      </c>
      <c r="F86" s="36"/>
      <c r="G86" s="37">
        <f t="shared" si="7"/>
        <v>246106.27819503695</v>
      </c>
      <c r="H86" s="36"/>
      <c r="I86" s="42">
        <f>IF(Input_NumInvestYears&gt;30,V73,"")</f>
        <v>158800</v>
      </c>
      <c r="K86" s="78">
        <f t="shared" si="6"/>
        <v>246.10627819503696</v>
      </c>
      <c r="M86">
        <f t="shared" si="9"/>
        <v>60</v>
      </c>
      <c r="S86" s="13">
        <f t="shared" si="3"/>
        <v>44</v>
      </c>
      <c r="T86" s="27">
        <f t="shared" si="10"/>
        <v>-99112.55619280084</v>
      </c>
      <c r="U86" s="29">
        <f t="shared" si="2"/>
        <v>-146763.57606579468</v>
      </c>
      <c r="V86" s="28">
        <f t="shared" si="4"/>
        <v>0</v>
      </c>
      <c r="W86" s="2"/>
    </row>
    <row r="87" spans="4:23" ht="12.75">
      <c r="D87" s="43">
        <f t="shared" si="8"/>
        <v>2037</v>
      </c>
      <c r="E87" s="48">
        <f aca="true" t="shared" si="12" ref="E87:E109">T74</f>
        <v>246106.27819503695</v>
      </c>
      <c r="F87" s="36"/>
      <c r="G87" s="37">
        <f t="shared" si="7"/>
        <v>257185.30996528154</v>
      </c>
      <c r="H87" s="36"/>
      <c r="I87" s="42">
        <f>IF(Input_NumInvestYears&gt;31,V74,"")</f>
        <v>163600</v>
      </c>
      <c r="K87" s="78">
        <f t="shared" si="6"/>
        <v>257.18530996528153</v>
      </c>
      <c r="M87">
        <f t="shared" si="9"/>
        <v>61</v>
      </c>
      <c r="S87" s="13">
        <f t="shared" si="3"/>
        <v>45</v>
      </c>
      <c r="T87" s="27">
        <f t="shared" si="10"/>
        <v>-146763.57606579468</v>
      </c>
      <c r="U87" s="29">
        <f t="shared" si="2"/>
        <v>-195619.61670505666</v>
      </c>
      <c r="V87" s="28">
        <f t="shared" si="4"/>
        <v>0</v>
      </c>
      <c r="W87" s="2"/>
    </row>
    <row r="88" spans="4:23" ht="12.75">
      <c r="D88" s="43">
        <f t="shared" si="8"/>
        <v>2038</v>
      </c>
      <c r="E88" s="48">
        <f t="shared" si="12"/>
        <v>257185.30996528154</v>
      </c>
      <c r="F88" s="36"/>
      <c r="G88" s="37">
        <f t="shared" si="7"/>
        <v>268544.5133538645</v>
      </c>
      <c r="H88" s="36"/>
      <c r="I88" s="42">
        <f>IF(Input_NumInvestYears&gt;32,V75,"")</f>
        <v>168400</v>
      </c>
      <c r="K88" s="78">
        <f t="shared" si="6"/>
        <v>268.5445133538645</v>
      </c>
      <c r="M88">
        <f t="shared" si="9"/>
        <v>62</v>
      </c>
      <c r="S88" s="13">
        <f t="shared" si="3"/>
        <v>46</v>
      </c>
      <c r="T88" s="27">
        <f t="shared" si="10"/>
        <v>-195619.61670505666</v>
      </c>
      <c r="U88" s="29">
        <f t="shared" si="2"/>
        <v>-245711.15122639848</v>
      </c>
      <c r="V88" s="28">
        <f t="shared" si="4"/>
        <v>0</v>
      </c>
      <c r="W88" s="2"/>
    </row>
    <row r="89" spans="4:23" ht="12.75">
      <c r="D89" s="43">
        <f t="shared" si="8"/>
        <v>2039</v>
      </c>
      <c r="E89" s="48">
        <f t="shared" si="12"/>
        <v>268544.5133538645</v>
      </c>
      <c r="F89" s="36"/>
      <c r="G89" s="37">
        <f t="shared" si="7"/>
        <v>280190.9734687041</v>
      </c>
      <c r="H89" s="36"/>
      <c r="I89" s="42">
        <f>IF(Input_NumInvestYears&gt;33,V76,"")</f>
        <v>173200</v>
      </c>
      <c r="K89" s="78">
        <f t="shared" si="6"/>
        <v>280.1909734687041</v>
      </c>
      <c r="M89">
        <f t="shared" si="9"/>
        <v>63</v>
      </c>
      <c r="S89" s="13">
        <f t="shared" si="3"/>
        <v>47</v>
      </c>
      <c r="T89" s="27">
        <f t="shared" si="10"/>
        <v>-245711.15122639848</v>
      </c>
      <c r="U89" s="29">
        <f t="shared" si="2"/>
        <v>-297069.4233637103</v>
      </c>
      <c r="V89" s="28">
        <f t="shared" si="4"/>
        <v>0</v>
      </c>
      <c r="W89" s="2"/>
    </row>
    <row r="90" spans="4:23" ht="12.75">
      <c r="D90" s="43">
        <f t="shared" si="8"/>
        <v>2040</v>
      </c>
      <c r="E90" s="48">
        <f t="shared" si="12"/>
        <v>280190.9734687041</v>
      </c>
      <c r="F90" s="36"/>
      <c r="G90" s="37">
        <f t="shared" si="7"/>
        <v>242131.9545891654</v>
      </c>
      <c r="H90" s="36"/>
      <c r="I90" s="42">
        <f>IF(Input_NumInvestYears&gt;34,V77,"")</f>
        <v>178000</v>
      </c>
      <c r="K90" s="78">
        <f t="shared" si="6"/>
        <v>242.1319545891654</v>
      </c>
      <c r="M90">
        <f t="shared" si="9"/>
        <v>64</v>
      </c>
      <c r="S90" s="13">
        <f t="shared" si="3"/>
        <v>48</v>
      </c>
      <c r="T90" s="27">
        <f t="shared" si="10"/>
        <v>-297069.4233637103</v>
      </c>
      <c r="U90" s="29">
        <f t="shared" si="2"/>
        <v>-349726.4669567026</v>
      </c>
      <c r="V90" s="28">
        <f t="shared" si="4"/>
        <v>0</v>
      </c>
      <c r="W90" s="2"/>
    </row>
    <row r="91" spans="4:23" ht="12.75">
      <c r="D91" s="43">
        <f t="shared" si="8"/>
        <v>2041</v>
      </c>
      <c r="E91" s="48">
        <f t="shared" si="12"/>
        <v>242131.9545891654</v>
      </c>
      <c r="F91" s="36"/>
      <c r="G91" s="37">
        <f t="shared" si="7"/>
        <v>203110.48184786525</v>
      </c>
      <c r="H91" s="36"/>
      <c r="I91" s="42">
        <f>IF(Input_NumInvestYears&gt;35,V78,"")</f>
      </c>
      <c r="K91" s="78">
        <f t="shared" si="6"/>
        <v>203.11048184786526</v>
      </c>
      <c r="M91">
        <f t="shared" si="9"/>
        <v>65</v>
      </c>
      <c r="S91" s="13">
        <f t="shared" si="3"/>
        <v>49</v>
      </c>
      <c r="T91" s="27">
        <f t="shared" si="10"/>
        <v>-349726.4669567026</v>
      </c>
      <c r="U91" s="29">
        <f t="shared" si="2"/>
        <v>-403715.1259314635</v>
      </c>
      <c r="V91" s="28">
        <f t="shared" si="4"/>
        <v>0</v>
      </c>
      <c r="W91" s="2"/>
    </row>
    <row r="92" spans="4:23" ht="12.75">
      <c r="D92" s="43">
        <f t="shared" si="8"/>
        <v>2042</v>
      </c>
      <c r="E92" s="48">
        <f t="shared" si="12"/>
        <v>203110.48184786525</v>
      </c>
      <c r="F92" s="36"/>
      <c r="G92" s="37">
        <f t="shared" si="7"/>
        <v>163102.21627172208</v>
      </c>
      <c r="H92" s="36"/>
      <c r="I92" s="42">
        <f>IF(Input_NumInvestYears&gt;36,V79,"")</f>
      </c>
      <c r="K92" s="78">
        <f t="shared" si="6"/>
        <v>163.10221627172209</v>
      </c>
      <c r="M92">
        <f t="shared" si="9"/>
        <v>66</v>
      </c>
      <c r="S92" s="13">
        <f t="shared" si="3"/>
        <v>50</v>
      </c>
      <c r="T92" s="27">
        <f t="shared" si="10"/>
        <v>-403715.1259314635</v>
      </c>
      <c r="U92" s="29">
        <f t="shared" si="2"/>
        <v>-459069.0747862932</v>
      </c>
      <c r="V92" s="28">
        <f t="shared" si="4"/>
        <v>0</v>
      </c>
      <c r="W92" s="2"/>
    </row>
    <row r="93" spans="4:23" ht="12.75">
      <c r="D93" s="43">
        <f t="shared" si="8"/>
        <v>2043</v>
      </c>
      <c r="E93" s="48">
        <f t="shared" si="12"/>
        <v>163102.21627172208</v>
      </c>
      <c r="F93" s="36"/>
      <c r="G93" s="37">
        <f t="shared" si="7"/>
        <v>122082.20339258056</v>
      </c>
      <c r="H93" s="36"/>
      <c r="I93" s="42">
        <f>IF(Input_NumInvestYears&gt;37,V80,"")</f>
      </c>
      <c r="K93" s="78">
        <f t="shared" si="6"/>
        <v>122.08220339258055</v>
      </c>
      <c r="M93">
        <f t="shared" si="9"/>
        <v>67</v>
      </c>
      <c r="S93" s="13">
        <f t="shared" si="3"/>
        <v>51</v>
      </c>
      <c r="T93" s="27">
        <f t="shared" si="10"/>
        <v>-459069.0747862932</v>
      </c>
      <c r="U93" s="29">
        <f t="shared" si="2"/>
        <v>-515822.8395955935</v>
      </c>
      <c r="V93" s="28">
        <f t="shared" si="4"/>
        <v>0</v>
      </c>
      <c r="W93" s="2"/>
    </row>
    <row r="94" spans="4:23" ht="12.75">
      <c r="D94" s="43">
        <f t="shared" si="8"/>
        <v>2044</v>
      </c>
      <c r="E94" s="48">
        <f t="shared" si="12"/>
        <v>122082.20339258056</v>
      </c>
      <c r="F94" s="36"/>
      <c r="G94" s="37">
        <f t="shared" si="7"/>
        <v>80024.85768229087</v>
      </c>
      <c r="H94" s="36"/>
      <c r="I94" s="42">
        <f>IF(Input_NumInvestYears&gt;38,V81,"")</f>
      </c>
      <c r="K94" s="78">
        <f t="shared" si="6"/>
        <v>80.02485768229087</v>
      </c>
      <c r="M94">
        <f t="shared" si="9"/>
        <v>68</v>
      </c>
      <c r="S94" s="13">
        <f t="shared" si="3"/>
        <v>52</v>
      </c>
      <c r="T94" s="27">
        <f t="shared" si="10"/>
        <v>-515822.8395955935</v>
      </c>
      <c r="U94" s="29">
        <f t="shared" si="2"/>
        <v>-574011.8195449135</v>
      </c>
      <c r="V94" s="28">
        <f t="shared" si="4"/>
        <v>0</v>
      </c>
      <c r="W94" s="2"/>
    </row>
    <row r="95" spans="4:23" ht="12.75">
      <c r="D95" s="43">
        <f t="shared" si="8"/>
        <v>2045</v>
      </c>
      <c r="E95" s="48">
        <f t="shared" si="12"/>
        <v>80024.85768229087</v>
      </c>
      <c r="F95" s="36"/>
      <c r="G95" s="37">
        <f t="shared" si="7"/>
        <v>36903.94659417514</v>
      </c>
      <c r="H95" s="36"/>
      <c r="I95" s="42">
        <f>IF(Input_NumInvestYears&gt;39,V82,"")</f>
      </c>
      <c r="K95" s="78">
        <f t="shared" si="6"/>
        <v>36.90394659417514</v>
      </c>
      <c r="M95">
        <f t="shared" si="9"/>
        <v>69</v>
      </c>
      <c r="S95" s="13">
        <f t="shared" si="3"/>
        <v>53</v>
      </c>
      <c r="T95" s="27">
        <f t="shared" si="10"/>
        <v>-574011.8195449135</v>
      </c>
      <c r="U95" s="29">
        <f t="shared" si="2"/>
        <v>-633672.3090105836</v>
      </c>
      <c r="V95" s="28">
        <f t="shared" si="4"/>
        <v>0</v>
      </c>
      <c r="W95" s="2"/>
    </row>
    <row r="96" spans="4:23" ht="12.75">
      <c r="D96" s="43">
        <f t="shared" si="8"/>
        <v>2046</v>
      </c>
      <c r="E96" s="48">
        <f t="shared" si="12"/>
        <v>36903.94659417514</v>
      </c>
      <c r="F96" s="36"/>
      <c r="G96" s="37">
        <f t="shared" si="7"/>
        <v>-7307.425799072684</v>
      </c>
      <c r="H96" s="36"/>
      <c r="I96" s="42">
        <f>IF(Input_NumInvestYears&gt;40,V83,"")</f>
      </c>
      <c r="K96" s="78">
        <f t="shared" si="6"/>
        <v>-7.307425799072684</v>
      </c>
      <c r="M96">
        <f t="shared" si="9"/>
        <v>70</v>
      </c>
      <c r="S96" s="13">
        <f t="shared" si="3"/>
        <v>54</v>
      </c>
      <c r="T96" s="27">
        <f t="shared" si="10"/>
        <v>-633672.3090105836</v>
      </c>
      <c r="U96" s="29">
        <f t="shared" si="2"/>
        <v>-694841.5201977083</v>
      </c>
      <c r="V96" s="28">
        <f t="shared" si="4"/>
        <v>0</v>
      </c>
      <c r="W96" s="2"/>
    </row>
    <row r="97" spans="4:23" ht="12.75">
      <c r="D97" s="43">
        <f t="shared" si="8"/>
        <v>2047</v>
      </c>
      <c r="E97" s="48">
        <f t="shared" si="12"/>
        <v>-7307.425799072684</v>
      </c>
      <c r="F97" s="36"/>
      <c r="G97" s="37">
        <f t="shared" si="7"/>
        <v>-52636.83558125938</v>
      </c>
      <c r="H97" s="36"/>
      <c r="I97" s="42">
        <f>IF(Input_NumInvestYears&gt;41,V84,"")</f>
      </c>
      <c r="K97" s="78">
        <f t="shared" si="6"/>
      </c>
      <c r="M97">
        <f t="shared" si="9"/>
        <v>71</v>
      </c>
      <c r="S97" s="13">
        <f t="shared" si="3"/>
        <v>55</v>
      </c>
      <c r="T97" s="27">
        <f t="shared" si="10"/>
        <v>-694841.5201977083</v>
      </c>
      <c r="U97" s="29">
        <f t="shared" si="2"/>
        <v>-757557.6063506403</v>
      </c>
      <c r="V97" s="28">
        <f t="shared" si="4"/>
        <v>0</v>
      </c>
      <c r="W97" s="2"/>
    </row>
    <row r="98" spans="4:23" ht="12.75">
      <c r="D98" s="43">
        <f t="shared" si="8"/>
        <v>2048</v>
      </c>
      <c r="E98" s="48">
        <f t="shared" si="12"/>
        <v>-52636.83558125938</v>
      </c>
      <c r="F98" s="36"/>
      <c r="G98" s="37">
        <f t="shared" si="7"/>
        <v>-99112.55619280084</v>
      </c>
      <c r="H98" s="36"/>
      <c r="I98" s="42">
        <f>IF(Input_NumInvestYears&gt;42,V85,"")</f>
      </c>
      <c r="K98" s="78">
        <f t="shared" si="6"/>
      </c>
      <c r="M98">
        <f t="shared" si="9"/>
        <v>72</v>
      </c>
      <c r="S98" s="13">
        <f t="shared" si="3"/>
        <v>56</v>
      </c>
      <c r="T98" s="27">
        <f t="shared" si="10"/>
        <v>-757557.6063506403</v>
      </c>
      <c r="U98" s="29">
        <f t="shared" si="2"/>
        <v>-821859.6855504111</v>
      </c>
      <c r="V98" s="28">
        <f t="shared" si="4"/>
        <v>0</v>
      </c>
      <c r="W98" s="2"/>
    </row>
    <row r="99" spans="4:23" ht="12.75">
      <c r="D99" s="43">
        <f t="shared" si="8"/>
        <v>2049</v>
      </c>
      <c r="E99" s="48">
        <f t="shared" si="12"/>
        <v>-99112.55619280084</v>
      </c>
      <c r="F99" s="36"/>
      <c r="G99" s="37">
        <f t="shared" si="7"/>
        <v>-146763.57606579468</v>
      </c>
      <c r="H99" s="36"/>
      <c r="I99" s="42">
        <f>IF(Input_NumInvestYears&gt;43,V86,"")</f>
      </c>
      <c r="K99" s="78">
        <f t="shared" si="6"/>
      </c>
      <c r="M99">
        <f t="shared" si="9"/>
        <v>73</v>
      </c>
      <c r="S99" s="13">
        <f t="shared" si="3"/>
        <v>57</v>
      </c>
      <c r="T99" s="27">
        <f t="shared" si="10"/>
        <v>-821859.6855504111</v>
      </c>
      <c r="U99" s="29">
        <f t="shared" si="2"/>
        <v>-887787.8651139615</v>
      </c>
      <c r="V99" s="28">
        <f t="shared" si="4"/>
        <v>0</v>
      </c>
      <c r="W99" s="2"/>
    </row>
    <row r="100" spans="4:23" ht="12.75">
      <c r="D100" s="43">
        <f t="shared" si="8"/>
        <v>2050</v>
      </c>
      <c r="E100" s="48">
        <f t="shared" si="12"/>
        <v>-146763.57606579468</v>
      </c>
      <c r="F100" s="36"/>
      <c r="G100" s="37">
        <f t="shared" si="7"/>
        <v>-195619.61670505666</v>
      </c>
      <c r="H100" s="36"/>
      <c r="I100" s="42">
        <f>IF(Input_NumInvestYears&gt;44,V87,"")</f>
      </c>
      <c r="K100" s="78">
        <f t="shared" si="6"/>
      </c>
      <c r="M100">
        <f t="shared" si="9"/>
        <v>74</v>
      </c>
      <c r="S100" s="13">
        <f t="shared" si="3"/>
        <v>58</v>
      </c>
      <c r="T100" s="27">
        <f t="shared" si="10"/>
        <v>-887787.8651139615</v>
      </c>
      <c r="U100" s="29">
        <f t="shared" si="2"/>
        <v>-955383.2666103913</v>
      </c>
      <c r="V100" s="28">
        <f t="shared" si="4"/>
        <v>0</v>
      </c>
      <c r="W100" s="2"/>
    </row>
    <row r="101" spans="4:23" ht="12.75">
      <c r="D101" s="43">
        <f t="shared" si="8"/>
        <v>2051</v>
      </c>
      <c r="E101" s="48">
        <f t="shared" si="12"/>
        <v>-195619.61670505666</v>
      </c>
      <c r="F101" s="36"/>
      <c r="G101" s="37">
        <f t="shared" si="7"/>
        <v>-245711.15122639848</v>
      </c>
      <c r="H101" s="36"/>
      <c r="I101" s="42">
        <f>IF(Input_NumInvestYears&gt;45,V88,"")</f>
      </c>
      <c r="K101" s="78">
        <f t="shared" si="6"/>
      </c>
      <c r="M101">
        <f t="shared" si="9"/>
        <v>75</v>
      </c>
      <c r="S101" s="13">
        <f t="shared" si="3"/>
        <v>59</v>
      </c>
      <c r="T101" s="27">
        <f t="shared" si="10"/>
        <v>-955383.2666103913</v>
      </c>
      <c r="U101" s="29">
        <f t="shared" si="2"/>
        <v>-1024688.0515098319</v>
      </c>
      <c r="V101" s="28">
        <f t="shared" si="4"/>
        <v>0</v>
      </c>
      <c r="W101" s="2"/>
    </row>
    <row r="102" spans="4:23" ht="12.75">
      <c r="D102" s="43">
        <f t="shared" si="8"/>
        <v>2052</v>
      </c>
      <c r="E102" s="48">
        <f t="shared" si="12"/>
        <v>-245711.15122639848</v>
      </c>
      <c r="F102" s="36"/>
      <c r="G102" s="37">
        <f t="shared" si="7"/>
        <v>-297069.4233637103</v>
      </c>
      <c r="H102" s="36"/>
      <c r="I102" s="42">
        <f>IF(Input_NumInvestYears&gt;46,V89,"")</f>
      </c>
      <c r="K102" s="78">
        <f t="shared" si="6"/>
      </c>
      <c r="M102">
        <f t="shared" si="9"/>
        <v>76</v>
      </c>
      <c r="S102" s="13">
        <f t="shared" si="3"/>
        <v>60</v>
      </c>
      <c r="T102" s="27">
        <f t="shared" si="10"/>
        <v>-1024688.0515098319</v>
      </c>
      <c r="U102" s="29">
        <f t="shared" si="2"/>
        <v>-1095745.447480938</v>
      </c>
      <c r="V102" s="28">
        <f t="shared" si="4"/>
        <v>0</v>
      </c>
      <c r="W102" s="2"/>
    </row>
    <row r="103" spans="4:23" ht="12.75">
      <c r="D103" s="43">
        <f t="shared" si="8"/>
        <v>2053</v>
      </c>
      <c r="E103" s="48">
        <f t="shared" si="12"/>
        <v>-297069.4233637103</v>
      </c>
      <c r="F103" s="36"/>
      <c r="G103" s="37">
        <f t="shared" si="7"/>
        <v>-349726.4669567026</v>
      </c>
      <c r="H103" s="36"/>
      <c r="I103" s="42">
        <f>IF(Input_NumInvestYears&gt;47,V90,"")</f>
      </c>
      <c r="K103" s="78">
        <f t="shared" si="6"/>
      </c>
      <c r="M103">
        <f t="shared" si="9"/>
        <v>77</v>
      </c>
      <c r="S103" s="13">
        <f t="shared" si="3"/>
        <v>61</v>
      </c>
      <c r="T103" s="27">
        <f t="shared" si="10"/>
        <v>-1095745.447480938</v>
      </c>
      <c r="U103" s="29">
        <f t="shared" si="2"/>
        <v>-1168599.775353404</v>
      </c>
      <c r="V103" s="28">
        <f t="shared" si="4"/>
        <v>0</v>
      </c>
      <c r="W103" s="2"/>
    </row>
    <row r="104" spans="4:23" ht="12.75">
      <c r="D104" s="43">
        <f t="shared" si="8"/>
        <v>2054</v>
      </c>
      <c r="E104" s="48">
        <f t="shared" si="12"/>
        <v>-349726.4669567026</v>
      </c>
      <c r="F104" s="36"/>
      <c r="G104" s="37">
        <f t="shared" si="7"/>
        <v>-403715.1259314635</v>
      </c>
      <c r="H104" s="36"/>
      <c r="I104" s="42">
        <f>IF(Input_NumInvestYears&gt;48,V91,"")</f>
      </c>
      <c r="K104" s="78">
        <f t="shared" si="6"/>
      </c>
      <c r="M104">
        <f t="shared" si="9"/>
        <v>78</v>
      </c>
      <c r="S104" s="13">
        <f t="shared" si="3"/>
        <v>62</v>
      </c>
      <c r="T104" s="27">
        <f t="shared" si="10"/>
        <v>-1168599.775353404</v>
      </c>
      <c r="U104" s="29">
        <f t="shared" si="2"/>
        <v>-1243296.4767623194</v>
      </c>
      <c r="V104" s="28">
        <f t="shared" si="4"/>
        <v>0</v>
      </c>
      <c r="W104" s="2"/>
    </row>
    <row r="105" spans="4:23" ht="12.75">
      <c r="D105" s="43">
        <f t="shared" si="8"/>
        <v>2055</v>
      </c>
      <c r="E105" s="48">
        <f t="shared" si="12"/>
        <v>-403715.1259314635</v>
      </c>
      <c r="F105" s="36"/>
      <c r="G105" s="37">
        <f t="shared" si="7"/>
        <v>-459069.0747862932</v>
      </c>
      <c r="H105" s="36"/>
      <c r="I105" s="42">
        <f>IF(Input_NumInvestYears&gt;49,V92,"")</f>
      </c>
      <c r="J105" s="2"/>
      <c r="K105" s="78">
        <f t="shared" si="6"/>
      </c>
      <c r="M105">
        <f t="shared" si="9"/>
        <v>79</v>
      </c>
      <c r="S105" s="13">
        <f t="shared" si="3"/>
        <v>63</v>
      </c>
      <c r="T105" s="27">
        <f t="shared" si="10"/>
        <v>-1243296.4767623194</v>
      </c>
      <c r="U105" s="29">
        <f t="shared" si="2"/>
        <v>-1319882.142491608</v>
      </c>
      <c r="V105" s="28">
        <f t="shared" si="4"/>
        <v>0</v>
      </c>
      <c r="W105" s="2"/>
    </row>
    <row r="106" spans="3:23" ht="12.75">
      <c r="C106" s="2"/>
      <c r="D106" s="43">
        <f t="shared" si="8"/>
        <v>2056</v>
      </c>
      <c r="E106" s="48">
        <f t="shared" si="12"/>
        <v>-459069.0747862932</v>
      </c>
      <c r="F106" s="36"/>
      <c r="G106" s="37">
        <f t="shared" si="7"/>
        <v>-515822.8395955935</v>
      </c>
      <c r="H106" s="36"/>
      <c r="I106" s="42">
        <f aca="true" t="shared" si="13" ref="I106:I150">IF(Input_NumInvestYears&gt;33,V93,"")</f>
        <v>0</v>
      </c>
      <c r="K106" s="78">
        <f t="shared" si="6"/>
      </c>
      <c r="M106">
        <f t="shared" si="9"/>
        <v>80</v>
      </c>
      <c r="S106" s="13">
        <f t="shared" si="3"/>
        <v>64</v>
      </c>
      <c r="T106" s="27">
        <f t="shared" si="10"/>
        <v>-1319882.142491608</v>
      </c>
      <c r="U106" s="29">
        <f t="shared" si="2"/>
        <v>-1398404.5415342283</v>
      </c>
      <c r="V106" s="28">
        <f t="shared" si="4"/>
        <v>0</v>
      </c>
      <c r="W106" s="2"/>
    </row>
    <row r="107" spans="4:23" ht="12.75">
      <c r="D107" s="43">
        <f t="shared" si="8"/>
        <v>2057</v>
      </c>
      <c r="E107" s="48">
        <f t="shared" si="12"/>
        <v>-515822.8395955935</v>
      </c>
      <c r="F107" s="36"/>
      <c r="G107" s="37">
        <f t="shared" si="7"/>
        <v>-574011.8195449135</v>
      </c>
      <c r="H107" s="36"/>
      <c r="I107" s="42">
        <f t="shared" si="13"/>
        <v>0</v>
      </c>
      <c r="K107" s="78">
        <f t="shared" si="6"/>
      </c>
      <c r="M107">
        <f t="shared" si="9"/>
        <v>81</v>
      </c>
      <c r="S107" s="13">
        <f t="shared" si="3"/>
        <v>65</v>
      </c>
      <c r="T107" s="27">
        <f t="shared" si="10"/>
        <v>-1398404.5415342283</v>
      </c>
      <c r="U107" s="29">
        <f t="shared" si="2"/>
        <v>-1478912.6508872625</v>
      </c>
      <c r="V107" s="28">
        <f t="shared" si="4"/>
        <v>0</v>
      </c>
      <c r="W107" s="2"/>
    </row>
    <row r="108" spans="4:23" ht="12.75">
      <c r="D108" s="43">
        <f t="shared" si="8"/>
        <v>2058</v>
      </c>
      <c r="E108" s="48">
        <f t="shared" si="12"/>
        <v>-574011.8195449135</v>
      </c>
      <c r="F108" s="36"/>
      <c r="G108" s="37">
        <f t="shared" si="7"/>
        <v>-633672.3090105836</v>
      </c>
      <c r="H108" s="36"/>
      <c r="I108" s="42">
        <f t="shared" si="13"/>
        <v>0</v>
      </c>
      <c r="K108" s="78">
        <f t="shared" si="6"/>
      </c>
      <c r="M108">
        <f t="shared" si="9"/>
        <v>82</v>
      </c>
      <c r="S108" s="13">
        <f t="shared" si="3"/>
        <v>66</v>
      </c>
      <c r="T108" s="27">
        <f t="shared" si="10"/>
        <v>-1478912.6508872625</v>
      </c>
      <c r="U108" s="29">
        <f aca="true" t="shared" si="14" ref="U108:U140">IF(RetireAge-Age&gt;S108,FV(Calc_MoWeightAveROI,12,-Input_MoInvestAmt,-T108,0),FV(Calc_MoWeightAveROI,12,-Input_MoInvestAmt,-T108,0)-YearlyCost)</f>
        <v>-1561456.6861004771</v>
      </c>
      <c r="V108" s="28">
        <f t="shared" si="4"/>
        <v>0</v>
      </c>
      <c r="W108" s="2"/>
    </row>
    <row r="109" spans="4:23" ht="12.75">
      <c r="D109" s="43">
        <f t="shared" si="8"/>
        <v>2059</v>
      </c>
      <c r="E109" s="48">
        <f t="shared" si="12"/>
        <v>-633672.3090105836</v>
      </c>
      <c r="F109" s="36"/>
      <c r="G109" s="37">
        <f t="shared" si="7"/>
        <v>-694841.5201977083</v>
      </c>
      <c r="H109" s="36"/>
      <c r="I109" s="42">
        <f t="shared" si="13"/>
        <v>0</v>
      </c>
      <c r="K109" s="78">
        <f t="shared" si="6"/>
      </c>
      <c r="M109">
        <f t="shared" si="9"/>
        <v>83</v>
      </c>
      <c r="S109" s="13">
        <f aca="true" t="shared" si="15" ref="S109:S140">S108+1</f>
        <v>67</v>
      </c>
      <c r="T109" s="27">
        <f t="shared" si="10"/>
        <v>-1561456.6861004771</v>
      </c>
      <c r="U109" s="29">
        <f t="shared" si="14"/>
        <v>-1646088.1325974083</v>
      </c>
      <c r="V109" s="28">
        <f aca="true" t="shared" si="16" ref="V109:V140">IF(RetireAge-Age&gt;S108,V108+(12*Input_MoInvestAmt),0)</f>
        <v>0</v>
      </c>
      <c r="W109" s="2"/>
    </row>
    <row r="110" spans="4:23" ht="12.75">
      <c r="D110" s="43">
        <f t="shared" si="8"/>
        <v>2060</v>
      </c>
      <c r="E110" s="48">
        <f>IF(T97&gt;0,T97,"")</f>
      </c>
      <c r="F110" s="36"/>
      <c r="G110" s="37">
        <f t="shared" si="7"/>
        <v>-757557.6063506403</v>
      </c>
      <c r="H110" s="36"/>
      <c r="I110" s="42">
        <f t="shared" si="13"/>
        <v>0</v>
      </c>
      <c r="K110" s="78">
        <f t="shared" si="6"/>
      </c>
      <c r="M110">
        <f t="shared" si="9"/>
        <v>84</v>
      </c>
      <c r="S110" s="13">
        <f t="shared" si="15"/>
        <v>68</v>
      </c>
      <c r="T110" s="27">
        <f t="shared" si="10"/>
        <v>-1646088.1325974083</v>
      </c>
      <c r="U110" s="29">
        <f t="shared" si="14"/>
        <v>-1732859.7777885105</v>
      </c>
      <c r="V110" s="28">
        <f t="shared" si="16"/>
        <v>0</v>
      </c>
      <c r="W110" s="2"/>
    </row>
    <row r="111" spans="4:23" ht="12.75">
      <c r="D111" s="43">
        <f t="shared" si="8"/>
        <v>2061</v>
      </c>
      <c r="E111" s="48">
        <f aca="true" t="shared" si="17" ref="E111:E150">IF(T98&gt;0,T98,"")</f>
      </c>
      <c r="F111" s="36"/>
      <c r="G111" s="37">
        <f t="shared" si="7"/>
        <v>-821859.6855504111</v>
      </c>
      <c r="H111" s="36"/>
      <c r="I111" s="42">
        <f t="shared" si="13"/>
        <v>0</v>
      </c>
      <c r="K111" s="78">
        <f t="shared" si="6"/>
      </c>
      <c r="M111">
        <f t="shared" si="9"/>
        <v>85</v>
      </c>
      <c r="S111" s="13">
        <f t="shared" si="15"/>
        <v>69</v>
      </c>
      <c r="T111" s="27">
        <f t="shared" si="10"/>
        <v>-1732859.7777885105</v>
      </c>
      <c r="U111" s="29">
        <f t="shared" si="14"/>
        <v>-1821825.7439963974</v>
      </c>
      <c r="V111" s="28">
        <f t="shared" si="16"/>
        <v>0</v>
      </c>
      <c r="W111" s="2"/>
    </row>
    <row r="112" spans="4:23" ht="12.75">
      <c r="D112" s="43">
        <f t="shared" si="8"/>
        <v>2062</v>
      </c>
      <c r="E112" s="48">
        <f t="shared" si="17"/>
      </c>
      <c r="F112" s="36"/>
      <c r="G112" s="37">
        <f t="shared" si="7"/>
        <v>-887787.8651139615</v>
      </c>
      <c r="H112" s="36"/>
      <c r="I112" s="42">
        <f t="shared" si="13"/>
        <v>0</v>
      </c>
      <c r="K112" s="78">
        <f t="shared" si="6"/>
      </c>
      <c r="M112">
        <f t="shared" si="9"/>
        <v>86</v>
      </c>
      <c r="S112" s="13">
        <f t="shared" si="15"/>
        <v>70</v>
      </c>
      <c r="T112" s="27">
        <f t="shared" si="10"/>
        <v>-1821825.7439963974</v>
      </c>
      <c r="U112" s="29">
        <f t="shared" si="14"/>
        <v>-1913041.5222137093</v>
      </c>
      <c r="V112" s="28">
        <f t="shared" si="16"/>
        <v>0</v>
      </c>
      <c r="W112" s="2"/>
    </row>
    <row r="113" spans="4:23" ht="12.75">
      <c r="D113" s="43">
        <f t="shared" si="8"/>
        <v>2063</v>
      </c>
      <c r="E113" s="48">
        <f t="shared" si="17"/>
      </c>
      <c r="F113" s="36"/>
      <c r="G113" s="37">
        <f t="shared" si="7"/>
        <v>-955383.2666103913</v>
      </c>
      <c r="H113" s="36"/>
      <c r="I113" s="42">
        <f t="shared" si="13"/>
        <v>0</v>
      </c>
      <c r="K113" s="78">
        <f t="shared" si="6"/>
      </c>
      <c r="M113">
        <f t="shared" si="9"/>
        <v>87</v>
      </c>
      <c r="S113" s="13">
        <f t="shared" si="15"/>
        <v>71</v>
      </c>
      <c r="T113" s="27">
        <f t="shared" si="10"/>
        <v>-1913041.5222137093</v>
      </c>
      <c r="U113" s="29">
        <f t="shared" si="14"/>
        <v>-2006564.006714667</v>
      </c>
      <c r="V113" s="28">
        <f t="shared" si="16"/>
        <v>0</v>
      </c>
      <c r="W113" s="2"/>
    </row>
    <row r="114" spans="4:23" ht="12.75">
      <c r="D114" s="43">
        <f t="shared" si="8"/>
        <v>2064</v>
      </c>
      <c r="E114" s="48">
        <f t="shared" si="17"/>
      </c>
      <c r="F114" s="36"/>
      <c r="G114" s="37">
        <f t="shared" si="7"/>
        <v>-1024688.0515098319</v>
      </c>
      <c r="H114" s="36"/>
      <c r="I114" s="42">
        <f t="shared" si="13"/>
        <v>0</v>
      </c>
      <c r="K114" s="78">
        <f t="shared" si="6"/>
      </c>
      <c r="M114">
        <f t="shared" si="9"/>
        <v>88</v>
      </c>
      <c r="S114" s="13">
        <f t="shared" si="15"/>
        <v>72</v>
      </c>
      <c r="T114" s="27">
        <f t="shared" si="10"/>
        <v>-2006564.006714667</v>
      </c>
      <c r="U114" s="29">
        <f t="shared" si="14"/>
        <v>-2102451.5305418978</v>
      </c>
      <c r="V114" s="28">
        <f t="shared" si="16"/>
        <v>0</v>
      </c>
      <c r="W114" s="2"/>
    </row>
    <row r="115" spans="4:23" ht="12.75">
      <c r="D115" s="43">
        <f t="shared" si="8"/>
        <v>2065</v>
      </c>
      <c r="E115" s="48">
        <f t="shared" si="17"/>
      </c>
      <c r="F115" s="36"/>
      <c r="G115" s="37">
        <f t="shared" si="7"/>
        <v>-1095745.447480938</v>
      </c>
      <c r="H115" s="36"/>
      <c r="I115" s="42">
        <f t="shared" si="13"/>
        <v>0</v>
      </c>
      <c r="K115" s="78">
        <f t="shared" si="6"/>
      </c>
      <c r="M115">
        <f t="shared" si="9"/>
        <v>89</v>
      </c>
      <c r="S115" s="13">
        <f t="shared" si="15"/>
        <v>73</v>
      </c>
      <c r="T115" s="27">
        <f t="shared" si="10"/>
        <v>-2102451.5305418978</v>
      </c>
      <c r="U115" s="29">
        <f t="shared" si="14"/>
        <v>-2200763.9018906676</v>
      </c>
      <c r="V115" s="28">
        <f t="shared" si="16"/>
        <v>0</v>
      </c>
      <c r="W115" s="2"/>
    </row>
    <row r="116" spans="4:23" ht="12.75">
      <c r="D116" s="43">
        <f t="shared" si="8"/>
        <v>2066</v>
      </c>
      <c r="E116" s="48">
        <f t="shared" si="17"/>
      </c>
      <c r="F116" s="36"/>
      <c r="G116" s="37">
        <f t="shared" si="7"/>
        <v>-1168599.775353404</v>
      </c>
      <c r="H116" s="36"/>
      <c r="I116" s="42">
        <f t="shared" si="13"/>
        <v>0</v>
      </c>
      <c r="K116" s="78">
        <f t="shared" si="6"/>
      </c>
      <c r="M116">
        <f t="shared" si="9"/>
        <v>90</v>
      </c>
      <c r="S116" s="13">
        <f t="shared" si="15"/>
        <v>74</v>
      </c>
      <c r="T116" s="27">
        <f t="shared" si="10"/>
        <v>-2200763.9018906676</v>
      </c>
      <c r="U116" s="29">
        <f t="shared" si="14"/>
        <v>-2301562.4414132163</v>
      </c>
      <c r="V116" s="28">
        <f t="shared" si="16"/>
        <v>0</v>
      </c>
      <c r="W116" s="2"/>
    </row>
    <row r="117" spans="4:23" ht="12.75">
      <c r="D117" s="43">
        <f t="shared" si="8"/>
        <v>2067</v>
      </c>
      <c r="E117" s="48">
        <f t="shared" si="17"/>
      </c>
      <c r="F117" s="36"/>
      <c r="G117" s="37">
        <f t="shared" si="7"/>
        <v>-1243296.4767623194</v>
      </c>
      <c r="H117" s="36"/>
      <c r="I117" s="42">
        <f t="shared" si="13"/>
        <v>0</v>
      </c>
      <c r="K117" s="78">
        <f t="shared" si="6"/>
      </c>
      <c r="M117">
        <f t="shared" si="9"/>
        <v>91</v>
      </c>
      <c r="S117" s="13">
        <f t="shared" si="15"/>
        <v>75</v>
      </c>
      <c r="T117" s="27">
        <f t="shared" si="10"/>
        <v>-2301562.4414132163</v>
      </c>
      <c r="U117" s="29">
        <f t="shared" si="14"/>
        <v>-2404910.0204664594</v>
      </c>
      <c r="V117" s="28">
        <f t="shared" si="16"/>
        <v>0</v>
      </c>
      <c r="W117" s="2"/>
    </row>
    <row r="118" spans="4:23" ht="12.75">
      <c r="D118" s="43">
        <f t="shared" si="8"/>
        <v>2068</v>
      </c>
      <c r="E118" s="48">
        <f t="shared" si="17"/>
      </c>
      <c r="F118" s="36"/>
      <c r="G118" s="37">
        <f t="shared" si="7"/>
        <v>-1319882.142491608</v>
      </c>
      <c r="H118" s="36"/>
      <c r="I118" s="42">
        <f t="shared" si="13"/>
        <v>0</v>
      </c>
      <c r="K118" s="78">
        <f t="shared" si="6"/>
      </c>
      <c r="M118">
        <f t="shared" si="9"/>
        <v>92</v>
      </c>
      <c r="S118" s="13">
        <f t="shared" si="15"/>
        <v>76</v>
      </c>
      <c r="T118" s="27">
        <f t="shared" si="10"/>
        <v>-2404910.0204664594</v>
      </c>
      <c r="U118" s="29">
        <f t="shared" si="14"/>
        <v>-2510871.1003269176</v>
      </c>
      <c r="V118" s="28">
        <f t="shared" si="16"/>
        <v>0</v>
      </c>
      <c r="W118" s="2"/>
    </row>
    <row r="119" spans="4:23" ht="12.75">
      <c r="D119" s="43">
        <f t="shared" si="8"/>
        <v>2069</v>
      </c>
      <c r="E119" s="48">
        <f t="shared" si="17"/>
      </c>
      <c r="F119" s="36"/>
      <c r="G119" s="37">
        <f t="shared" si="7"/>
        <v>-1398404.5415342283</v>
      </c>
      <c r="H119" s="36"/>
      <c r="I119" s="42">
        <f t="shared" si="13"/>
        <v>0</v>
      </c>
      <c r="K119" s="78">
        <f t="shared" si="6"/>
      </c>
      <c r="M119">
        <f t="shared" si="9"/>
        <v>93</v>
      </c>
      <c r="S119" s="13">
        <f t="shared" si="15"/>
        <v>77</v>
      </c>
      <c r="T119" s="27">
        <f t="shared" si="10"/>
        <v>-2510871.1003269176</v>
      </c>
      <c r="U119" s="29">
        <f t="shared" si="14"/>
        <v>-2619511.77239733</v>
      </c>
      <c r="V119" s="28">
        <f t="shared" si="16"/>
        <v>0</v>
      </c>
      <c r="W119" s="2"/>
    </row>
    <row r="120" spans="4:23" ht="12.75">
      <c r="D120" s="43">
        <f t="shared" si="8"/>
        <v>2070</v>
      </c>
      <c r="E120" s="48">
        <f t="shared" si="17"/>
      </c>
      <c r="F120" s="36"/>
      <c r="G120" s="37">
        <f t="shared" si="7"/>
        <v>-1478912.6508872625</v>
      </c>
      <c r="H120" s="36"/>
      <c r="I120" s="42">
        <f t="shared" si="13"/>
        <v>0</v>
      </c>
      <c r="K120" s="78">
        <f t="shared" si="6"/>
      </c>
      <c r="M120">
        <f t="shared" si="9"/>
        <v>94</v>
      </c>
      <c r="S120" s="13">
        <f t="shared" si="15"/>
        <v>78</v>
      </c>
      <c r="T120" s="27">
        <f t="shared" si="10"/>
        <v>-2619511.77239733</v>
      </c>
      <c r="U120" s="29">
        <f t="shared" si="14"/>
        <v>-2730899.799430031</v>
      </c>
      <c r="V120" s="28">
        <f t="shared" si="16"/>
        <v>0</v>
      </c>
      <c r="W120" s="2"/>
    </row>
    <row r="121" spans="4:23" ht="12.75">
      <c r="D121" s="43">
        <f t="shared" si="8"/>
        <v>2071</v>
      </c>
      <c r="E121" s="48">
        <f t="shared" si="17"/>
      </c>
      <c r="F121" s="36"/>
      <c r="G121" s="37">
        <f aca="true" t="shared" si="18" ref="G121:G150">IF(LifeExpect&gt;S108,U108,"")</f>
        <v>-1561456.6861004771</v>
      </c>
      <c r="H121" s="36"/>
      <c r="I121" s="42">
        <f t="shared" si="13"/>
        <v>0</v>
      </c>
      <c r="K121" s="78">
        <f aca="true" t="shared" si="19" ref="K121:K150">IF(LifeExpect-Age&gt;=S108-1,G121/1000,"")</f>
      </c>
      <c r="M121">
        <f t="shared" si="9"/>
        <v>95</v>
      </c>
      <c r="S121" s="13">
        <f t="shared" si="15"/>
        <v>79</v>
      </c>
      <c r="T121" s="27">
        <f t="shared" si="10"/>
        <v>-2730899.799430031</v>
      </c>
      <c r="U121" s="29">
        <f t="shared" si="14"/>
        <v>-2845104.6577928015</v>
      </c>
      <c r="V121" s="28">
        <f t="shared" si="16"/>
        <v>0</v>
      </c>
      <c r="W121" s="2"/>
    </row>
    <row r="122" spans="4:23" ht="12.75">
      <c r="D122" s="43">
        <f aca="true" t="shared" si="20" ref="D122:D150">D121+1</f>
        <v>2072</v>
      </c>
      <c r="E122" s="48">
        <f t="shared" si="17"/>
      </c>
      <c r="F122" s="36"/>
      <c r="G122" s="37">
        <f t="shared" si="18"/>
        <v>-1646088.1325974083</v>
      </c>
      <c r="H122" s="36"/>
      <c r="I122" s="42">
        <f t="shared" si="13"/>
        <v>0</v>
      </c>
      <c r="K122" s="78">
        <f t="shared" si="19"/>
      </c>
      <c r="M122">
        <f aca="true" t="shared" si="21" ref="M122:M150">M121+1</f>
        <v>96</v>
      </c>
      <c r="S122" s="13">
        <f t="shared" si="15"/>
        <v>80</v>
      </c>
      <c r="T122" s="27">
        <f t="shared" si="10"/>
        <v>-2845104.6577928015</v>
      </c>
      <c r="U122" s="29">
        <f t="shared" si="14"/>
        <v>-2962197.580803562</v>
      </c>
      <c r="V122" s="28">
        <f t="shared" si="16"/>
        <v>0</v>
      </c>
      <c r="W122" s="2"/>
    </row>
    <row r="123" spans="4:23" ht="12.75">
      <c r="D123" s="43">
        <f t="shared" si="20"/>
        <v>2073</v>
      </c>
      <c r="E123" s="48">
        <f t="shared" si="17"/>
      </c>
      <c r="F123" s="36"/>
      <c r="G123" s="37">
        <f t="shared" si="18"/>
        <v>-1732859.7777885105</v>
      </c>
      <c r="H123" s="36"/>
      <c r="I123" s="42">
        <f t="shared" si="13"/>
        <v>0</v>
      </c>
      <c r="K123" s="78">
        <f t="shared" si="19"/>
      </c>
      <c r="M123">
        <f t="shared" si="21"/>
        <v>97</v>
      </c>
      <c r="S123" s="13">
        <f t="shared" si="15"/>
        <v>81</v>
      </c>
      <c r="T123" s="27">
        <f t="shared" si="10"/>
        <v>-2962197.580803562</v>
      </c>
      <c r="U123" s="29">
        <f t="shared" si="14"/>
        <v>-3082251.603160928</v>
      </c>
      <c r="V123" s="28">
        <f t="shared" si="16"/>
        <v>0</v>
      </c>
      <c r="W123" s="2"/>
    </row>
    <row r="124" spans="4:23" ht="12.75">
      <c r="D124" s="43">
        <f t="shared" si="20"/>
        <v>2074</v>
      </c>
      <c r="E124" s="48">
        <f t="shared" si="17"/>
      </c>
      <c r="F124" s="36"/>
      <c r="G124" s="37">
        <f t="shared" si="18"/>
        <v>-1821825.7439963974</v>
      </c>
      <c r="H124" s="36"/>
      <c r="I124" s="42">
        <f t="shared" si="13"/>
        <v>0</v>
      </c>
      <c r="K124" s="78">
        <f t="shared" si="19"/>
      </c>
      <c r="M124">
        <f t="shared" si="21"/>
        <v>98</v>
      </c>
      <c r="S124" s="13">
        <f t="shared" si="15"/>
        <v>82</v>
      </c>
      <c r="T124" s="27">
        <f t="shared" si="10"/>
        <v>-3082251.603160928</v>
      </c>
      <c r="U124" s="29">
        <f t="shared" si="14"/>
        <v>-3205341.606498349</v>
      </c>
      <c r="V124" s="28">
        <f t="shared" si="16"/>
        <v>0</v>
      </c>
      <c r="W124" s="2"/>
    </row>
    <row r="125" spans="4:23" ht="12.75">
      <c r="D125" s="43">
        <f t="shared" si="20"/>
        <v>2075</v>
      </c>
      <c r="E125" s="48">
        <f t="shared" si="17"/>
      </c>
      <c r="F125" s="36"/>
      <c r="G125" s="37">
        <f t="shared" si="18"/>
      </c>
      <c r="H125" s="36"/>
      <c r="I125" s="42">
        <f t="shared" si="13"/>
        <v>0</v>
      </c>
      <c r="K125" s="78">
        <f t="shared" si="19"/>
      </c>
      <c r="M125">
        <f t="shared" si="21"/>
        <v>99</v>
      </c>
      <c r="S125" s="13">
        <f t="shared" si="15"/>
        <v>83</v>
      </c>
      <c r="T125" s="27">
        <f t="shared" si="10"/>
        <v>-3205341.606498349</v>
      </c>
      <c r="U125" s="29">
        <f t="shared" si="14"/>
        <v>-3331544.3660902414</v>
      </c>
      <c r="V125" s="28">
        <f t="shared" si="16"/>
        <v>0</v>
      </c>
      <c r="W125" s="2"/>
    </row>
    <row r="126" spans="4:23" ht="12.75">
      <c r="D126" s="43">
        <f t="shared" si="20"/>
        <v>2076</v>
      </c>
      <c r="E126" s="48">
        <f t="shared" si="17"/>
      </c>
      <c r="F126" s="36"/>
      <c r="G126" s="37">
        <f t="shared" si="18"/>
      </c>
      <c r="H126" s="36"/>
      <c r="I126" s="42">
        <f t="shared" si="13"/>
        <v>0</v>
      </c>
      <c r="K126" s="78">
        <f t="shared" si="19"/>
      </c>
      <c r="M126">
        <f t="shared" si="21"/>
        <v>100</v>
      </c>
      <c r="S126" s="13">
        <f t="shared" si="15"/>
        <v>84</v>
      </c>
      <c r="T126" s="27">
        <f t="shared" si="10"/>
        <v>-3331544.3660902414</v>
      </c>
      <c r="U126" s="29">
        <f t="shared" si="14"/>
        <v>-3460938.598739246</v>
      </c>
      <c r="V126" s="28">
        <f t="shared" si="16"/>
        <v>0</v>
      </c>
      <c r="W126" s="2"/>
    </row>
    <row r="127" spans="4:23" ht="12.75">
      <c r="D127" s="43">
        <f t="shared" si="20"/>
        <v>2077</v>
      </c>
      <c r="E127" s="48">
        <f t="shared" si="17"/>
      </c>
      <c r="F127" s="36"/>
      <c r="G127" s="37">
        <f t="shared" si="18"/>
      </c>
      <c r="H127" s="36"/>
      <c r="I127" s="42">
        <f t="shared" si="13"/>
        <v>0</v>
      </c>
      <c r="K127" s="78">
        <f t="shared" si="19"/>
      </c>
      <c r="M127">
        <f t="shared" si="21"/>
        <v>101</v>
      </c>
      <c r="S127" s="13">
        <f t="shared" si="15"/>
        <v>85</v>
      </c>
      <c r="T127" s="27">
        <f t="shared" si="10"/>
        <v>-3460938.598739246</v>
      </c>
      <c r="U127" s="29">
        <f t="shared" si="14"/>
        <v>-3593605.0118744806</v>
      </c>
      <c r="V127" s="28">
        <f t="shared" si="16"/>
        <v>0</v>
      </c>
      <c r="W127" s="2"/>
    </row>
    <row r="128" spans="4:23" ht="12.75">
      <c r="D128" s="43">
        <f t="shared" si="20"/>
        <v>2078</v>
      </c>
      <c r="E128" s="48">
        <f t="shared" si="17"/>
      </c>
      <c r="F128" s="36"/>
      <c r="G128" s="37">
        <f t="shared" si="18"/>
      </c>
      <c r="H128" s="36"/>
      <c r="I128" s="42">
        <f t="shared" si="13"/>
        <v>0</v>
      </c>
      <c r="K128" s="78">
        <f t="shared" si="19"/>
      </c>
      <c r="M128">
        <f t="shared" si="21"/>
        <v>102</v>
      </c>
      <c r="S128" s="13">
        <f t="shared" si="15"/>
        <v>86</v>
      </c>
      <c r="T128" s="27">
        <f t="shared" si="10"/>
        <v>-3593605.0118744806</v>
      </c>
      <c r="U128" s="29">
        <f t="shared" si="14"/>
        <v>-3729626.353891413</v>
      </c>
      <c r="V128" s="28">
        <f t="shared" si="16"/>
        <v>0</v>
      </c>
      <c r="W128" s="2"/>
    </row>
    <row r="129" spans="4:23" ht="12.75">
      <c r="D129" s="43">
        <f t="shared" si="20"/>
        <v>2079</v>
      </c>
      <c r="E129" s="48">
        <f t="shared" si="17"/>
      </c>
      <c r="F129" s="36"/>
      <c r="G129" s="37">
        <f t="shared" si="18"/>
      </c>
      <c r="H129" s="36"/>
      <c r="I129" s="42">
        <f t="shared" si="13"/>
        <v>0</v>
      </c>
      <c r="K129" s="78">
        <f t="shared" si="19"/>
      </c>
      <c r="M129">
        <f t="shared" si="21"/>
        <v>103</v>
      </c>
      <c r="S129" s="13">
        <f t="shared" si="15"/>
        <v>87</v>
      </c>
      <c r="T129" s="27">
        <f t="shared" si="10"/>
        <v>-3729626.353891413</v>
      </c>
      <c r="U129" s="29">
        <f t="shared" si="14"/>
        <v>-3869087.4657647503</v>
      </c>
      <c r="V129" s="28">
        <f t="shared" si="16"/>
        <v>0</v>
      </c>
      <c r="W129" s="2"/>
    </row>
    <row r="130" spans="4:23" ht="12.75">
      <c r="D130" s="43">
        <f t="shared" si="20"/>
        <v>2080</v>
      </c>
      <c r="E130" s="48">
        <f t="shared" si="17"/>
      </c>
      <c r="F130" s="36"/>
      <c r="G130" s="37">
        <f t="shared" si="18"/>
      </c>
      <c r="H130" s="36"/>
      <c r="I130" s="42">
        <f t="shared" si="13"/>
        <v>0</v>
      </c>
      <c r="K130" s="78">
        <f t="shared" si="19"/>
      </c>
      <c r="M130">
        <f t="shared" si="21"/>
        <v>104</v>
      </c>
      <c r="S130" s="13">
        <f t="shared" si="15"/>
        <v>88</v>
      </c>
      <c r="T130" s="27">
        <f t="shared" si="10"/>
        <v>-3869087.4657647503</v>
      </c>
      <c r="U130" s="29">
        <f t="shared" si="14"/>
        <v>-4012075.3339665383</v>
      </c>
      <c r="V130" s="28">
        <f t="shared" si="16"/>
        <v>0</v>
      </c>
      <c r="W130" s="2"/>
    </row>
    <row r="131" spans="4:24" ht="12.75">
      <c r="D131" s="43">
        <f t="shared" si="20"/>
        <v>2081</v>
      </c>
      <c r="E131" s="48">
        <f t="shared" si="17"/>
      </c>
      <c r="F131" s="36"/>
      <c r="G131" s="37">
        <f t="shared" si="18"/>
      </c>
      <c r="H131" s="36"/>
      <c r="I131" s="42">
        <f t="shared" si="13"/>
        <v>0</v>
      </c>
      <c r="K131" s="78">
        <f t="shared" si="19"/>
      </c>
      <c r="M131">
        <f t="shared" si="21"/>
        <v>105</v>
      </c>
      <c r="S131" s="13">
        <f t="shared" si="15"/>
        <v>89</v>
      </c>
      <c r="T131" s="27">
        <f t="shared" si="10"/>
        <v>-4012075.3339665383</v>
      </c>
      <c r="U131" s="29">
        <f t="shared" si="14"/>
        <v>-4158679.1447224794</v>
      </c>
      <c r="V131" s="28">
        <f t="shared" si="16"/>
        <v>0</v>
      </c>
      <c r="W131" s="2"/>
      <c r="X131" s="2"/>
    </row>
    <row r="132" spans="4:26" ht="12.75">
      <c r="D132" s="43">
        <f t="shared" si="20"/>
        <v>2082</v>
      </c>
      <c r="E132" s="48">
        <f t="shared" si="17"/>
      </c>
      <c r="F132" s="36"/>
      <c r="G132" s="37">
        <f t="shared" si="18"/>
      </c>
      <c r="H132" s="36"/>
      <c r="I132" s="42">
        <f t="shared" si="13"/>
        <v>0</v>
      </c>
      <c r="K132" s="78">
        <f t="shared" si="19"/>
      </c>
      <c r="M132">
        <f t="shared" si="21"/>
        <v>106</v>
      </c>
      <c r="S132" s="13">
        <f t="shared" si="15"/>
        <v>90</v>
      </c>
      <c r="T132" s="27">
        <f t="shared" si="10"/>
        <v>-4158679.1447224794</v>
      </c>
      <c r="U132" s="29">
        <f t="shared" si="14"/>
        <v>-4308990.339640308</v>
      </c>
      <c r="V132" s="28">
        <f t="shared" si="16"/>
        <v>0</v>
      </c>
      <c r="W132" s="2"/>
      <c r="Y132" s="2"/>
      <c r="Z132" s="2"/>
    </row>
    <row r="133" spans="1:26" s="2" customFormat="1" ht="12.75">
      <c r="A133"/>
      <c r="B133"/>
      <c r="C133"/>
      <c r="D133" s="43">
        <f t="shared" si="20"/>
        <v>2083</v>
      </c>
      <c r="E133" s="48">
        <f t="shared" si="17"/>
      </c>
      <c r="F133" s="36"/>
      <c r="G133" s="37">
        <f t="shared" si="18"/>
      </c>
      <c r="H133" s="36"/>
      <c r="I133" s="42">
        <f t="shared" si="13"/>
        <v>0</v>
      </c>
      <c r="J133"/>
      <c r="K133" s="78">
        <f t="shared" si="19"/>
      </c>
      <c r="L133"/>
      <c r="M133">
        <f t="shared" si="21"/>
        <v>107</v>
      </c>
      <c r="N133"/>
      <c r="O133"/>
      <c r="P133"/>
      <c r="Q133"/>
      <c r="S133" s="13">
        <f t="shared" si="15"/>
        <v>91</v>
      </c>
      <c r="T133" s="27">
        <f aca="true" t="shared" si="22" ref="T133:T140">U132</f>
        <v>-4308990.339640308</v>
      </c>
      <c r="U133" s="29">
        <f t="shared" si="14"/>
        <v>-4463102.672744923</v>
      </c>
      <c r="V133" s="28">
        <f t="shared" si="16"/>
        <v>0</v>
      </c>
      <c r="X133"/>
      <c r="Y133"/>
      <c r="Z133"/>
    </row>
    <row r="134" spans="4:23" ht="12.75">
      <c r="D134" s="43">
        <f t="shared" si="20"/>
        <v>2084</v>
      </c>
      <c r="E134" s="48">
        <f t="shared" si="17"/>
      </c>
      <c r="F134" s="36"/>
      <c r="G134" s="37">
        <f t="shared" si="18"/>
      </c>
      <c r="H134" s="36"/>
      <c r="I134" s="42">
        <f t="shared" si="13"/>
        <v>0</v>
      </c>
      <c r="K134" s="78">
        <f t="shared" si="19"/>
      </c>
      <c r="L134" s="2"/>
      <c r="M134">
        <f t="shared" si="21"/>
        <v>108</v>
      </c>
      <c r="N134" s="2"/>
      <c r="O134" s="2"/>
      <c r="S134" s="13">
        <f>S133+1</f>
        <v>92</v>
      </c>
      <c r="T134" s="27">
        <f>U133</f>
        <v>-4463102.672744923</v>
      </c>
      <c r="U134" s="29">
        <f t="shared" si="14"/>
        <v>-4621112.268955849</v>
      </c>
      <c r="V134" s="28">
        <f>IF(RetireAge-Age&gt;S133,V133+(12*Input_MoInvestAmt),0)</f>
        <v>0</v>
      </c>
      <c r="W134" s="2"/>
    </row>
    <row r="135" spans="1:23" ht="12.75">
      <c r="A135" s="2"/>
      <c r="B135" s="2"/>
      <c r="D135" s="43">
        <f t="shared" si="20"/>
        <v>2085</v>
      </c>
      <c r="E135" s="48">
        <f t="shared" si="17"/>
      </c>
      <c r="F135" s="36"/>
      <c r="G135" s="37">
        <f t="shared" si="18"/>
      </c>
      <c r="H135" s="36"/>
      <c r="I135" s="42">
        <f t="shared" si="13"/>
        <v>0</v>
      </c>
      <c r="K135" s="78">
        <f t="shared" si="19"/>
      </c>
      <c r="M135">
        <f t="shared" si="21"/>
        <v>109</v>
      </c>
      <c r="P135" s="2"/>
      <c r="Q135" s="2"/>
      <c r="S135" s="13">
        <f t="shared" si="15"/>
        <v>93</v>
      </c>
      <c r="T135" s="27">
        <f t="shared" si="22"/>
        <v>-4621112.268955849</v>
      </c>
      <c r="U135" s="29">
        <f t="shared" si="14"/>
        <v>-4783117.684043502</v>
      </c>
      <c r="V135" s="28">
        <f t="shared" si="16"/>
        <v>0</v>
      </c>
      <c r="W135" s="2"/>
    </row>
    <row r="136" spans="4:23" ht="12.75">
      <c r="D136" s="43">
        <f t="shared" si="20"/>
        <v>2086</v>
      </c>
      <c r="E136" s="48">
        <f t="shared" si="17"/>
      </c>
      <c r="F136" s="36"/>
      <c r="G136" s="37">
        <f t="shared" si="18"/>
      </c>
      <c r="H136" s="36"/>
      <c r="I136" s="42">
        <f t="shared" si="13"/>
        <v>0</v>
      </c>
      <c r="K136" s="78">
        <f t="shared" si="19"/>
      </c>
      <c r="M136">
        <f t="shared" si="21"/>
        <v>110</v>
      </c>
      <c r="S136" s="13">
        <f t="shared" si="15"/>
        <v>94</v>
      </c>
      <c r="T136" s="27">
        <f t="shared" si="22"/>
        <v>-4783117.684043502</v>
      </c>
      <c r="U136" s="29">
        <f t="shared" si="14"/>
        <v>-4949219.966101659</v>
      </c>
      <c r="V136" s="28">
        <f t="shared" si="16"/>
        <v>0</v>
      </c>
      <c r="W136" s="2"/>
    </row>
    <row r="137" spans="4:23" ht="12.75">
      <c r="D137" s="43">
        <f t="shared" si="20"/>
        <v>2087</v>
      </c>
      <c r="E137" s="48">
        <f t="shared" si="17"/>
      </c>
      <c r="F137" s="36"/>
      <c r="G137" s="37">
        <f t="shared" si="18"/>
      </c>
      <c r="H137" s="36"/>
      <c r="I137" s="42">
        <f t="shared" si="13"/>
        <v>0</v>
      </c>
      <c r="K137" s="78">
        <f t="shared" si="19"/>
      </c>
      <c r="M137">
        <f t="shared" si="21"/>
        <v>111</v>
      </c>
      <c r="S137" s="13">
        <f t="shared" si="15"/>
        <v>95</v>
      </c>
      <c r="T137" s="27">
        <f t="shared" si="22"/>
        <v>-4949219.966101659</v>
      </c>
      <c r="U137" s="29">
        <f t="shared" si="14"/>
        <v>-5119522.718574471</v>
      </c>
      <c r="V137" s="28">
        <f t="shared" si="16"/>
        <v>0</v>
      </c>
      <c r="W137" s="2"/>
    </row>
    <row r="138" spans="4:23" ht="12.75">
      <c r="D138" s="43">
        <f t="shared" si="20"/>
        <v>2088</v>
      </c>
      <c r="E138" s="48">
        <f t="shared" si="17"/>
      </c>
      <c r="F138" s="36"/>
      <c r="G138" s="37">
        <f t="shared" si="18"/>
      </c>
      <c r="H138" s="36"/>
      <c r="I138" s="42">
        <f t="shared" si="13"/>
        <v>0</v>
      </c>
      <c r="K138" s="78">
        <f t="shared" si="19"/>
      </c>
      <c r="M138">
        <f t="shared" si="21"/>
        <v>112</v>
      </c>
      <c r="S138" s="13">
        <f t="shared" si="15"/>
        <v>96</v>
      </c>
      <c r="T138" s="27">
        <f t="shared" si="22"/>
        <v>-5119522.718574471</v>
      </c>
      <c r="U138" s="29">
        <f t="shared" si="14"/>
        <v>-5294132.164877327</v>
      </c>
      <c r="V138" s="28">
        <f t="shared" si="16"/>
        <v>0</v>
      </c>
      <c r="W138" s="2"/>
    </row>
    <row r="139" spans="4:23" ht="12.75">
      <c r="D139" s="43">
        <f t="shared" si="20"/>
        <v>2089</v>
      </c>
      <c r="E139" s="48">
        <f t="shared" si="17"/>
      </c>
      <c r="F139" s="36"/>
      <c r="G139" s="37">
        <f t="shared" si="18"/>
      </c>
      <c r="H139" s="36"/>
      <c r="I139" s="42">
        <f t="shared" si="13"/>
        <v>0</v>
      </c>
      <c r="K139" s="78">
        <f t="shared" si="19"/>
      </c>
      <c r="M139">
        <f t="shared" si="21"/>
        <v>113</v>
      </c>
      <c r="S139" s="13">
        <f t="shared" si="15"/>
        <v>97</v>
      </c>
      <c r="T139" s="27">
        <f t="shared" si="22"/>
        <v>-5294132.164877327</v>
      </c>
      <c r="U139" s="29">
        <f t="shared" si="14"/>
        <v>-5473157.214651889</v>
      </c>
      <c r="V139" s="28">
        <f t="shared" si="16"/>
        <v>0</v>
      </c>
      <c r="W139" s="2"/>
    </row>
    <row r="140" spans="4:23" ht="12.75">
      <c r="D140" s="43">
        <f t="shared" si="20"/>
        <v>2090</v>
      </c>
      <c r="E140" s="48">
        <f t="shared" si="17"/>
      </c>
      <c r="F140" s="36"/>
      <c r="G140" s="37">
        <f t="shared" si="18"/>
      </c>
      <c r="H140" s="36"/>
      <c r="I140" s="42">
        <f t="shared" si="13"/>
        <v>0</v>
      </c>
      <c r="K140" s="78">
        <f t="shared" si="19"/>
      </c>
      <c r="M140">
        <f t="shared" si="21"/>
        <v>114</v>
      </c>
      <c r="S140" s="13">
        <f t="shared" si="15"/>
        <v>98</v>
      </c>
      <c r="T140" s="27">
        <f t="shared" si="22"/>
        <v>-5473157.214651889</v>
      </c>
      <c r="U140" s="29">
        <f t="shared" si="14"/>
        <v>-5656709.531696606</v>
      </c>
      <c r="V140" s="28">
        <f t="shared" si="16"/>
        <v>0</v>
      </c>
      <c r="W140" s="2"/>
    </row>
    <row r="141" spans="4:23" ht="12.75">
      <c r="D141" s="43">
        <f t="shared" si="20"/>
        <v>2091</v>
      </c>
      <c r="E141" s="48">
        <f t="shared" si="17"/>
      </c>
      <c r="F141" s="36"/>
      <c r="G141" s="37">
        <f t="shared" si="18"/>
      </c>
      <c r="H141" s="36"/>
      <c r="I141" s="42">
        <f t="shared" si="13"/>
        <v>0</v>
      </c>
      <c r="K141" s="78">
        <f t="shared" si="19"/>
      </c>
      <c r="M141">
        <f t="shared" si="21"/>
        <v>115</v>
      </c>
      <c r="W141" s="2"/>
    </row>
    <row r="142" spans="4:23" ht="12.75">
      <c r="D142" s="43">
        <f t="shared" si="20"/>
        <v>2092</v>
      </c>
      <c r="E142" s="48">
        <f t="shared" si="17"/>
      </c>
      <c r="F142" s="36"/>
      <c r="G142" s="37">
        <f t="shared" si="18"/>
      </c>
      <c r="H142" s="36"/>
      <c r="I142" s="42">
        <f t="shared" si="13"/>
        <v>0</v>
      </c>
      <c r="K142" s="78">
        <f t="shared" si="19"/>
      </c>
      <c r="M142">
        <f t="shared" si="21"/>
        <v>116</v>
      </c>
      <c r="W142" s="2"/>
    </row>
    <row r="143" spans="4:23" ht="12.75">
      <c r="D143" s="43">
        <f t="shared" si="20"/>
        <v>2093</v>
      </c>
      <c r="E143" s="48">
        <f t="shared" si="17"/>
      </c>
      <c r="F143" s="36"/>
      <c r="G143" s="37">
        <f t="shared" si="18"/>
      </c>
      <c r="H143" s="36"/>
      <c r="I143" s="42">
        <f t="shared" si="13"/>
        <v>0</v>
      </c>
      <c r="K143" s="78">
        <f t="shared" si="19"/>
      </c>
      <c r="M143">
        <f t="shared" si="21"/>
        <v>117</v>
      </c>
      <c r="W143" s="2"/>
    </row>
    <row r="144" spans="4:23" ht="12.75">
      <c r="D144" s="43">
        <f t="shared" si="20"/>
        <v>2094</v>
      </c>
      <c r="E144" s="48">
        <f t="shared" si="17"/>
      </c>
      <c r="F144" s="36"/>
      <c r="G144" s="37">
        <f t="shared" si="18"/>
      </c>
      <c r="H144" s="36"/>
      <c r="I144" s="42">
        <f t="shared" si="13"/>
        <v>0</v>
      </c>
      <c r="K144" s="78">
        <f t="shared" si="19"/>
      </c>
      <c r="M144">
        <f t="shared" si="21"/>
        <v>118</v>
      </c>
      <c r="W144" s="2"/>
    </row>
    <row r="145" spans="4:23" ht="12.75">
      <c r="D145" s="43">
        <f t="shared" si="20"/>
        <v>2095</v>
      </c>
      <c r="E145" s="48">
        <f t="shared" si="17"/>
      </c>
      <c r="F145" s="36"/>
      <c r="G145" s="37">
        <f t="shared" si="18"/>
      </c>
      <c r="H145" s="36"/>
      <c r="I145" s="42">
        <f t="shared" si="13"/>
        <v>0</v>
      </c>
      <c r="K145" s="78">
        <f t="shared" si="19"/>
      </c>
      <c r="M145">
        <f t="shared" si="21"/>
        <v>119</v>
      </c>
      <c r="W145" s="2"/>
    </row>
    <row r="146" spans="4:23" ht="12.75">
      <c r="D146" s="43">
        <f t="shared" si="20"/>
        <v>2096</v>
      </c>
      <c r="E146" s="48">
        <f t="shared" si="17"/>
      </c>
      <c r="F146" s="36"/>
      <c r="G146" s="37">
        <f t="shared" si="18"/>
      </c>
      <c r="H146" s="36"/>
      <c r="I146" s="42">
        <f t="shared" si="13"/>
        <v>0</v>
      </c>
      <c r="K146" s="78">
        <f t="shared" si="19"/>
      </c>
      <c r="M146">
        <f t="shared" si="21"/>
        <v>120</v>
      </c>
      <c r="W146" s="2"/>
    </row>
    <row r="147" spans="4:23" ht="12.75">
      <c r="D147" s="43">
        <f t="shared" si="20"/>
        <v>2097</v>
      </c>
      <c r="E147" s="48">
        <f t="shared" si="17"/>
      </c>
      <c r="F147" s="36"/>
      <c r="G147" s="37">
        <f t="shared" si="18"/>
      </c>
      <c r="H147" s="36"/>
      <c r="I147" s="42">
        <f t="shared" si="13"/>
        <v>0</v>
      </c>
      <c r="K147" s="78">
        <f t="shared" si="19"/>
      </c>
      <c r="M147">
        <f t="shared" si="21"/>
        <v>121</v>
      </c>
      <c r="W147" s="2"/>
    </row>
    <row r="148" spans="4:23" ht="12.75">
      <c r="D148" s="43">
        <f t="shared" si="20"/>
        <v>2098</v>
      </c>
      <c r="E148" s="48">
        <f t="shared" si="17"/>
      </c>
      <c r="F148" s="36"/>
      <c r="G148" s="37">
        <f t="shared" si="18"/>
      </c>
      <c r="H148" s="36"/>
      <c r="I148" s="42">
        <f t="shared" si="13"/>
        <v>0</v>
      </c>
      <c r="K148" s="78">
        <f t="shared" si="19"/>
      </c>
      <c r="M148">
        <f t="shared" si="21"/>
        <v>122</v>
      </c>
      <c r="W148" s="2"/>
    </row>
    <row r="149" spans="4:23" ht="12.75">
      <c r="D149" s="43">
        <f t="shared" si="20"/>
        <v>2099</v>
      </c>
      <c r="E149" s="48">
        <f t="shared" si="17"/>
      </c>
      <c r="F149" s="36"/>
      <c r="G149" s="37">
        <f t="shared" si="18"/>
      </c>
      <c r="H149" s="36"/>
      <c r="I149" s="42">
        <f t="shared" si="13"/>
        <v>0</v>
      </c>
      <c r="K149" s="78">
        <f t="shared" si="19"/>
      </c>
      <c r="M149">
        <f t="shared" si="21"/>
        <v>123</v>
      </c>
      <c r="W149" s="2"/>
    </row>
    <row r="150" spans="4:23" ht="12.75">
      <c r="D150" s="43">
        <f t="shared" si="20"/>
        <v>2100</v>
      </c>
      <c r="E150" s="48">
        <f t="shared" si="17"/>
      </c>
      <c r="F150" s="36"/>
      <c r="G150" s="37">
        <f t="shared" si="18"/>
      </c>
      <c r="H150" s="36"/>
      <c r="I150" s="42">
        <f t="shared" si="13"/>
        <v>0</v>
      </c>
      <c r="K150" s="78">
        <f t="shared" si="19"/>
      </c>
      <c r="M150">
        <f t="shared" si="21"/>
        <v>124</v>
      </c>
      <c r="W150" s="2"/>
    </row>
    <row r="151" ht="12.75">
      <c r="W151" s="2"/>
    </row>
    <row r="152" ht="12.75">
      <c r="W152" s="2"/>
    </row>
    <row r="153" ht="12.75">
      <c r="W153" s="2"/>
    </row>
    <row r="154" ht="12.75">
      <c r="W154" s="2"/>
    </row>
    <row r="155" ht="12.75">
      <c r="W155" s="2"/>
    </row>
    <row r="156" ht="12.75">
      <c r="W156" s="2"/>
    </row>
    <row r="157" ht="12.75">
      <c r="W157" s="2"/>
    </row>
    <row r="158" ht="12.75">
      <c r="W158" s="2"/>
    </row>
    <row r="159" ht="12.75">
      <c r="W159" s="2"/>
    </row>
    <row r="160" ht="12.75">
      <c r="W160" s="2"/>
    </row>
    <row r="161" ht="12.75">
      <c r="W161" s="2"/>
    </row>
    <row r="162" ht="12.75">
      <c r="W162" s="2"/>
    </row>
    <row r="163" ht="12.75">
      <c r="W163" s="2"/>
    </row>
    <row r="164" ht="12.75">
      <c r="W164" s="2"/>
    </row>
    <row r="165" ht="12.75">
      <c r="W165" s="2"/>
    </row>
    <row r="166" ht="12.75">
      <c r="W166" s="2"/>
    </row>
    <row r="167" ht="12.75">
      <c r="W167" s="2"/>
    </row>
    <row r="168" ht="12.75">
      <c r="W168" s="2"/>
    </row>
    <row r="169" ht="12.75">
      <c r="W169" s="2"/>
    </row>
    <row r="170" ht="12.75">
      <c r="W170" s="2"/>
    </row>
    <row r="171" ht="12.75">
      <c r="W171" s="2"/>
    </row>
    <row r="172" ht="12.75">
      <c r="W172" s="2"/>
    </row>
    <row r="173" ht="12.75">
      <c r="W173" s="2"/>
    </row>
    <row r="174" ht="12.75">
      <c r="W174" s="2"/>
    </row>
    <row r="175" ht="12.75">
      <c r="W175" s="2"/>
    </row>
    <row r="176" ht="12.75">
      <c r="W176" s="2"/>
    </row>
    <row r="177" ht="12.75">
      <c r="W177" s="2"/>
    </row>
    <row r="178" ht="12.75">
      <c r="W178" s="2"/>
    </row>
    <row r="179" ht="12.75">
      <c r="W179" s="2"/>
    </row>
    <row r="180" ht="12.75">
      <c r="W180" s="2"/>
    </row>
    <row r="181" ht="12.75">
      <c r="W181" s="2"/>
    </row>
    <row r="182" ht="12.75">
      <c r="W182" s="2"/>
    </row>
    <row r="183" ht="12.75">
      <c r="W183" s="2"/>
    </row>
    <row r="184" ht="12.75">
      <c r="W184" s="2"/>
    </row>
    <row r="185" ht="12.75">
      <c r="W185" s="2"/>
    </row>
    <row r="186" ht="12.75">
      <c r="W186" s="2"/>
    </row>
    <row r="187" ht="12.75">
      <c r="W187" s="2"/>
    </row>
    <row r="188" ht="12.75">
      <c r="W188" s="2"/>
    </row>
    <row r="189" ht="12.75">
      <c r="W189" s="2"/>
    </row>
    <row r="190" ht="12.75">
      <c r="W190" s="2"/>
    </row>
    <row r="191" ht="12.75">
      <c r="W191" s="2"/>
    </row>
    <row r="192" ht="12.75">
      <c r="W192" s="2"/>
    </row>
    <row r="193" ht="12.75">
      <c r="W193" s="2"/>
    </row>
    <row r="194" ht="12.75">
      <c r="W194" s="2"/>
    </row>
    <row r="195" ht="12.75">
      <c r="W195" s="2"/>
    </row>
    <row r="196" ht="12.75">
      <c r="W196" s="2"/>
    </row>
    <row r="197" ht="12.75">
      <c r="W197" s="2"/>
    </row>
    <row r="198" ht="12.75">
      <c r="W198" s="2"/>
    </row>
    <row r="199" ht="12.75">
      <c r="W199" s="2"/>
    </row>
    <row r="200" ht="12.75">
      <c r="W200" s="2"/>
    </row>
    <row r="201" ht="12.75">
      <c r="W201" s="2"/>
    </row>
    <row r="202" ht="12.75">
      <c r="W202" s="2"/>
    </row>
    <row r="203" ht="12.75">
      <c r="W203" s="2"/>
    </row>
    <row r="204" ht="12.75">
      <c r="W204" s="2"/>
    </row>
    <row r="205" ht="12.75">
      <c r="W205" s="2"/>
    </row>
    <row r="206" ht="12.75">
      <c r="W206" s="2"/>
    </row>
    <row r="207" ht="12.75">
      <c r="W207" s="2"/>
    </row>
    <row r="208" ht="12.75">
      <c r="W208" s="2"/>
    </row>
    <row r="209" ht="12.75">
      <c r="W209" s="2"/>
    </row>
    <row r="210" ht="12.75">
      <c r="W210" s="2"/>
    </row>
    <row r="211" ht="12.75">
      <c r="W211" s="2"/>
    </row>
  </sheetData>
  <mergeCells count="19">
    <mergeCell ref="J3:O3"/>
    <mergeCell ref="B1:P1"/>
    <mergeCell ref="G9:O9"/>
    <mergeCell ref="C9:E9"/>
    <mergeCell ref="C3:E3"/>
    <mergeCell ref="N6:O6"/>
    <mergeCell ref="J4:L4"/>
    <mergeCell ref="J5:L5"/>
    <mergeCell ref="J6:L6"/>
    <mergeCell ref="C4:E7"/>
    <mergeCell ref="M4:O4"/>
    <mergeCell ref="M5:O5"/>
    <mergeCell ref="M7:O7"/>
    <mergeCell ref="C21:O21"/>
    <mergeCell ref="I12:I14"/>
    <mergeCell ref="K12:K14"/>
    <mergeCell ref="M12:M14"/>
    <mergeCell ref="O12:O14"/>
    <mergeCell ref="G12:H14"/>
  </mergeCells>
  <dataValidations count="3">
    <dataValidation type="list" allowBlank="1" showInputMessage="1" showErrorMessage="1" sqref="I15:I19">
      <formula1>$X$7:$X$16</formula1>
    </dataValidation>
    <dataValidation type="list" allowBlank="1" showInputMessage="1" showErrorMessage="1" sqref="E16">
      <formula1>$S$82:$S$127</formula1>
    </dataValidation>
    <dataValidation type="list" allowBlank="1" showInputMessage="1" showErrorMessage="1" sqref="E15">
      <formula1>$S$58:$S$107</formula1>
    </dataValidation>
  </dataValidation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63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75</v>
      </c>
      <c r="B2" t="s">
        <v>76</v>
      </c>
    </row>
    <row r="3" spans="1:2" ht="12.75">
      <c r="A3" t="s">
        <v>77</v>
      </c>
      <c r="B3" t="s">
        <v>78</v>
      </c>
    </row>
    <row r="4" spans="1:2" ht="12.75">
      <c r="A4" t="s">
        <v>79</v>
      </c>
      <c r="B4" t="s">
        <v>125</v>
      </c>
    </row>
    <row r="5" spans="1:2" ht="12.75">
      <c r="A5" t="s">
        <v>80</v>
      </c>
      <c r="B5" t="s">
        <v>76</v>
      </c>
    </row>
    <row r="6" spans="1:2" ht="12.75">
      <c r="A6" t="s">
        <v>107</v>
      </c>
      <c r="B6" t="s">
        <v>76</v>
      </c>
    </row>
    <row r="7" spans="1:2" ht="12.75">
      <c r="A7" t="s">
        <v>108</v>
      </c>
      <c r="B7" t="s">
        <v>78</v>
      </c>
    </row>
    <row r="8" spans="1:2" ht="12.75">
      <c r="A8" t="s">
        <v>109</v>
      </c>
      <c r="B8" t="s">
        <v>129</v>
      </c>
    </row>
    <row r="9" spans="1:2" ht="12.75">
      <c r="A9" t="s">
        <v>110</v>
      </c>
      <c r="B9" t="s">
        <v>121</v>
      </c>
    </row>
    <row r="10" spans="1:2" ht="12.75">
      <c r="A10" t="s">
        <v>139</v>
      </c>
      <c r="B10" t="s">
        <v>76</v>
      </c>
    </row>
    <row r="11" spans="1:2" ht="12.75">
      <c r="A11" t="s">
        <v>140</v>
      </c>
      <c r="B11" t="s">
        <v>78</v>
      </c>
    </row>
    <row r="12" spans="1:2" ht="12.75">
      <c r="A12" t="s">
        <v>141</v>
      </c>
      <c r="B12" t="s">
        <v>142</v>
      </c>
    </row>
    <row r="13" spans="1:2" ht="12.75">
      <c r="A13" t="s">
        <v>143</v>
      </c>
      <c r="B13" t="s">
        <v>76</v>
      </c>
    </row>
    <row r="14" spans="1:2" ht="12.75">
      <c r="A14" t="s">
        <v>81</v>
      </c>
      <c r="B14" t="s">
        <v>76</v>
      </c>
    </row>
    <row r="15" spans="1:2" ht="12.75">
      <c r="A15" t="s">
        <v>82</v>
      </c>
      <c r="B15" t="s">
        <v>78</v>
      </c>
    </row>
    <row r="16" spans="1:2" ht="12.75">
      <c r="A16" t="s">
        <v>83</v>
      </c>
      <c r="B16" t="s">
        <v>84</v>
      </c>
    </row>
    <row r="17" spans="1:2" ht="12.75">
      <c r="A17" t="s">
        <v>85</v>
      </c>
      <c r="B17" t="s">
        <v>76</v>
      </c>
    </row>
    <row r="18" spans="1:2" ht="12.75">
      <c r="A18" t="s">
        <v>86</v>
      </c>
      <c r="B18" t="s">
        <v>76</v>
      </c>
    </row>
    <row r="19" spans="1:2" ht="12.75">
      <c r="A19" t="s">
        <v>87</v>
      </c>
      <c r="B19" t="s">
        <v>78</v>
      </c>
    </row>
    <row r="20" spans="1:2" ht="12.75">
      <c r="A20" t="s">
        <v>88</v>
      </c>
      <c r="B20" t="s">
        <v>78</v>
      </c>
    </row>
    <row r="21" spans="1:2" ht="12.75">
      <c r="A21" t="s">
        <v>89</v>
      </c>
      <c r="B21" t="s">
        <v>76</v>
      </c>
    </row>
    <row r="22" spans="1:2" ht="12.75">
      <c r="A22" t="s">
        <v>144</v>
      </c>
      <c r="B22" t="s">
        <v>76</v>
      </c>
    </row>
    <row r="23" spans="1:2" ht="12.75">
      <c r="A23" t="s">
        <v>145</v>
      </c>
      <c r="B23" t="s">
        <v>78</v>
      </c>
    </row>
    <row r="24" spans="1:2" ht="12.75">
      <c r="A24" t="s">
        <v>146</v>
      </c>
      <c r="B24" t="s">
        <v>142</v>
      </c>
    </row>
    <row r="25" spans="1:2" ht="12.75">
      <c r="A25" t="s">
        <v>147</v>
      </c>
      <c r="B25" t="s">
        <v>76</v>
      </c>
    </row>
    <row r="26" spans="1:2" ht="12.75">
      <c r="A26" t="s">
        <v>111</v>
      </c>
      <c r="B26" t="s">
        <v>121</v>
      </c>
    </row>
    <row r="27" spans="1:2" ht="12.75">
      <c r="A27" t="s">
        <v>112</v>
      </c>
      <c r="B27" t="s">
        <v>78</v>
      </c>
    </row>
    <row r="28" spans="1:2" ht="12.75">
      <c r="A28" t="s">
        <v>113</v>
      </c>
      <c r="B28" t="s">
        <v>84</v>
      </c>
    </row>
    <row r="29" spans="1:2" ht="12.75">
      <c r="A29" t="s">
        <v>114</v>
      </c>
      <c r="B29" t="s">
        <v>76</v>
      </c>
    </row>
    <row r="30" spans="1:2" ht="12.75">
      <c r="A30" t="s">
        <v>115</v>
      </c>
      <c r="B30" t="s">
        <v>121</v>
      </c>
    </row>
    <row r="31" spans="1:2" ht="12.75">
      <c r="A31" t="s">
        <v>116</v>
      </c>
      <c r="B31" t="s">
        <v>78</v>
      </c>
    </row>
    <row r="32" spans="1:2" ht="12.75">
      <c r="A32" t="s">
        <v>117</v>
      </c>
      <c r="B32" t="s">
        <v>78</v>
      </c>
    </row>
    <row r="33" spans="1:2" ht="12.75">
      <c r="A33" t="s">
        <v>118</v>
      </c>
      <c r="B33" t="s">
        <v>76</v>
      </c>
    </row>
    <row r="34" spans="1:2" ht="12.75">
      <c r="A34" t="s">
        <v>69</v>
      </c>
      <c r="B34">
        <v>1</v>
      </c>
    </row>
    <row r="35" spans="1:2" ht="12.75">
      <c r="A35" t="s">
        <v>70</v>
      </c>
      <c r="B35">
        <v>1</v>
      </c>
    </row>
    <row r="36" spans="1:2" ht="12.75">
      <c r="A36" t="s">
        <v>71</v>
      </c>
      <c r="B36" t="s">
        <v>128</v>
      </c>
    </row>
    <row r="37" spans="1:2" ht="12.75">
      <c r="A37" t="s">
        <v>72</v>
      </c>
      <c r="B37">
        <v>1</v>
      </c>
    </row>
    <row r="38" spans="1:2" ht="12.75">
      <c r="A38" t="s">
        <v>73</v>
      </c>
      <c r="B38">
        <v>0</v>
      </c>
    </row>
    <row r="39" spans="1:2" ht="12.75">
      <c r="A39" t="s">
        <v>74</v>
      </c>
      <c r="B39">
        <v>0</v>
      </c>
    </row>
    <row r="40" spans="1:2" ht="12.75">
      <c r="A40" t="s">
        <v>148</v>
      </c>
      <c r="B40" t="s">
        <v>76</v>
      </c>
    </row>
    <row r="41" spans="1:2" ht="12.75">
      <c r="A41" t="s">
        <v>149</v>
      </c>
      <c r="B41" t="s">
        <v>78</v>
      </c>
    </row>
    <row r="42" spans="1:2" ht="12.75">
      <c r="A42" t="s">
        <v>150</v>
      </c>
      <c r="B42" t="s">
        <v>142</v>
      </c>
    </row>
    <row r="43" spans="1:2" ht="12.75">
      <c r="A43" t="s">
        <v>151</v>
      </c>
      <c r="B43" t="s">
        <v>76</v>
      </c>
    </row>
    <row r="44" spans="1:2" ht="12.75">
      <c r="A44" t="s">
        <v>90</v>
      </c>
      <c r="B44" t="s">
        <v>130</v>
      </c>
    </row>
    <row r="45" spans="1:2" ht="12.75">
      <c r="A45" t="s">
        <v>91</v>
      </c>
      <c r="B45" t="s">
        <v>131</v>
      </c>
    </row>
    <row r="46" spans="1:2" ht="12.75">
      <c r="A46" t="s">
        <v>92</v>
      </c>
      <c r="B46">
        <v>0</v>
      </c>
    </row>
    <row r="47" spans="1:2" ht="12.75">
      <c r="A47" t="s">
        <v>93</v>
      </c>
      <c r="B47" t="s">
        <v>156</v>
      </c>
    </row>
    <row r="48" spans="1:2" ht="12.75">
      <c r="A48" t="s">
        <v>94</v>
      </c>
      <c r="B48">
        <v>1</v>
      </c>
    </row>
    <row r="49" spans="1:2" ht="12.75">
      <c r="A49" t="s">
        <v>95</v>
      </c>
      <c r="B49">
        <v>65535</v>
      </c>
    </row>
    <row r="50" spans="1:2" ht="12.75">
      <c r="A50" t="s">
        <v>96</v>
      </c>
      <c r="B50" t="s">
        <v>97</v>
      </c>
    </row>
    <row r="51" spans="1:2" ht="12.75">
      <c r="A51" t="s">
        <v>98</v>
      </c>
      <c r="B51">
        <v>16777215</v>
      </c>
    </row>
    <row r="52" spans="1:2" ht="12.75">
      <c r="A52" t="s">
        <v>99</v>
      </c>
      <c r="B52">
        <v>0</v>
      </c>
    </row>
    <row r="53" spans="1:2" ht="12.75">
      <c r="A53" t="s">
        <v>100</v>
      </c>
      <c r="B53">
        <v>0</v>
      </c>
    </row>
    <row r="54" spans="1:2" ht="12.75">
      <c r="A54" t="s">
        <v>101</v>
      </c>
      <c r="B54">
        <v>0</v>
      </c>
    </row>
    <row r="55" spans="1:2" ht="12.75">
      <c r="A55" t="s">
        <v>102</v>
      </c>
      <c r="B55">
        <v>0</v>
      </c>
    </row>
    <row r="56" spans="1:2" ht="12.75">
      <c r="A56" t="s">
        <v>103</v>
      </c>
      <c r="B56">
        <v>2</v>
      </c>
    </row>
    <row r="57" spans="1:2" ht="12.75">
      <c r="A57" t="s">
        <v>104</v>
      </c>
      <c r="B57">
        <v>0</v>
      </c>
    </row>
    <row r="58" spans="1:2" ht="12.75">
      <c r="A58" t="s">
        <v>105</v>
      </c>
      <c r="B58">
        <v>750</v>
      </c>
    </row>
    <row r="59" spans="1:2" ht="12.75">
      <c r="A59" t="s">
        <v>106</v>
      </c>
      <c r="B59">
        <v>80</v>
      </c>
    </row>
    <row r="60" spans="1:2" ht="12.75">
      <c r="A60" t="s">
        <v>152</v>
      </c>
      <c r="B60" t="s">
        <v>76</v>
      </c>
    </row>
    <row r="61" spans="1:2" ht="12.75">
      <c r="A61" t="s">
        <v>153</v>
      </c>
      <c r="B61" t="s">
        <v>78</v>
      </c>
    </row>
    <row r="62" spans="1:2" ht="12.75">
      <c r="A62" t="s">
        <v>154</v>
      </c>
      <c r="B62" t="s">
        <v>157</v>
      </c>
    </row>
    <row r="63" spans="1:2" ht="12.75">
      <c r="A63" t="s">
        <v>155</v>
      </c>
      <c r="B63" t="s">
        <v>121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Knowledge Dynamics,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Jeffrey_S_Zakem</dc:creator>
  <cp:keywords/>
  <dc:description/>
  <cp:lastModifiedBy>Michael_H_Rubin</cp:lastModifiedBy>
  <dcterms:created xsi:type="dcterms:W3CDTF">2001-10-25T23:04:40Z</dcterms:created>
  <dcterms:modified xsi:type="dcterms:W3CDTF">2006-05-12T23:55:46Z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kDDispInStartText">
    <vt:lpwstr>IN_</vt:lpwstr>
  </property>
</Properties>
</file>